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310" firstSheet="8" activeTab="8"/>
  </bookViews>
  <sheets>
    <sheet name="диаграм коммун.инфраструкт" sheetId="1" r:id="rId1"/>
    <sheet name="диаграм.жил.фонд" sheetId="2" r:id="rId2"/>
    <sheet name="диаграм.бюджет.сфера" sheetId="3" r:id="rId3"/>
    <sheet name="диаграм по отдельн видам ТЭР" sheetId="4" r:id="rId4"/>
    <sheet name="диаграм.общ.показ." sheetId="5" r:id="rId5"/>
    <sheet name="диаграмма1" sheetId="6" r:id="rId6"/>
    <sheet name="данные база" sheetId="7" state="hidden" r:id="rId7"/>
    <sheet name="расчет показат" sheetId="8" state="hidden" r:id="rId8"/>
    <sheet name="ЗНАЧЕНИЕ ЦЕЛЕВЫХ ПОКАЗАТЕЛЕЙ" sheetId="9" r:id="rId9"/>
    <sheet name="тэр районы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R209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изменить газ на эту величину</t>
        </r>
      </text>
    </comment>
  </commentList>
</comments>
</file>

<file path=xl/sharedStrings.xml><?xml version="1.0" encoding="utf-8"?>
<sst xmlns="http://schemas.openxmlformats.org/spreadsheetml/2006/main" count="1409" uniqueCount="813">
  <si>
    <t>В.1.1.</t>
  </si>
  <si>
    <t>В.3.1.</t>
  </si>
  <si>
    <t>В.5.1.</t>
  </si>
  <si>
    <t>В.7.1.</t>
  </si>
  <si>
    <t>Количество общественного транспорта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</si>
  <si>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</si>
  <si>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</si>
  <si>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</si>
  <si>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</si>
  <si>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</si>
  <si>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</si>
  <si>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</si>
  <si>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</si>
  <si>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</si>
  <si>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%</t>
  </si>
  <si>
    <t>[(П2(n)/П1(n))/ (П2(2007)/П1(2007))]∙100</t>
  </si>
  <si>
    <t>Снижение  энергоемкости  на 40%  к 2020г. относительно уровня  2007г. согласно Указа Президента РФ от 04.06.2008. № 889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</si>
  <si>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</si>
  <si>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</si>
  <si>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(П.7/ П.3)∙100</t>
  </si>
  <si>
    <t>А.3.</t>
  </si>
  <si>
    <t>Расход ТЭ населением, без экономии</t>
  </si>
  <si>
    <t>Расход хвс населением, без экономии всего</t>
  </si>
  <si>
    <r>
      <t xml:space="preserve">Расход хвс населением, без экономии, </t>
    </r>
    <r>
      <rPr>
        <b/>
        <sz val="10"/>
        <rFont val="Arial"/>
        <family val="2"/>
      </rPr>
      <t>частные</t>
    </r>
  </si>
  <si>
    <r>
      <t xml:space="preserve">Расход хвс населением, с экономией, </t>
    </r>
    <r>
      <rPr>
        <b/>
        <sz val="10"/>
        <rFont val="Arial"/>
        <family val="2"/>
      </rPr>
      <t>частные</t>
    </r>
  </si>
  <si>
    <r>
      <t xml:space="preserve">Расход хвс населением </t>
    </r>
    <r>
      <rPr>
        <b/>
        <sz val="10"/>
        <rFont val="Arial"/>
        <family val="2"/>
      </rPr>
      <t>МКД</t>
    </r>
    <r>
      <rPr>
        <sz val="10"/>
        <rFont val="Arial"/>
        <family val="0"/>
      </rPr>
      <t xml:space="preserve"> с учетом экономии</t>
    </r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</si>
  <si>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</si>
  <si>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 П.4)∙100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</si>
  <si>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</si>
  <si>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</si>
  <si>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 П.5)∙100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</si>
  <si>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</si>
  <si>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</si>
  <si>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(П.10/ П.6)∙100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</si>
  <si>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</si>
  <si>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</si>
  <si>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без МКД,  с экономией мероприятий по утеплению,</t>
    </r>
    <r>
      <rPr>
        <b/>
        <sz val="10"/>
        <color indexed="10"/>
        <rFont val="Arial"/>
        <family val="2"/>
      </rPr>
      <t xml:space="preserve"> без перевода печного топлива в газ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</si>
  <si>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без перевода в печное</t>
    </r>
  </si>
  <si>
    <r>
      <t xml:space="preserve">по приборам учета </t>
    </r>
    <r>
      <rPr>
        <b/>
        <sz val="10"/>
        <rFont val="Arial"/>
        <family val="2"/>
      </rPr>
      <t>без МКД</t>
    </r>
    <r>
      <rPr>
        <b/>
        <sz val="10"/>
        <color indexed="12"/>
        <rFont val="Arial"/>
        <family val="2"/>
      </rPr>
      <t xml:space="preserve"> с переводом печного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</si>
  <si>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с переводом в печное</t>
    </r>
  </si>
  <si>
    <r>
      <t xml:space="preserve">по приборам учета </t>
    </r>
    <r>
      <rPr>
        <b/>
        <sz val="10"/>
        <rFont val="Arial"/>
        <family val="2"/>
      </rPr>
      <t xml:space="preserve">без МКД </t>
    </r>
    <r>
      <rPr>
        <b/>
        <sz val="10"/>
        <color indexed="12"/>
        <rFont val="Arial"/>
        <family val="2"/>
      </rPr>
      <t>без перевода печного</t>
    </r>
  </si>
  <si>
    <t>Объем природного газа, потребляемого (используемого) населением, без МКД, с экономией</t>
  </si>
  <si>
    <t>(П.18/ П.17)∙100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</si>
  <si>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</si>
  <si>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</si>
  <si>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П.15.(n) - П.15.(2009)</t>
  </si>
  <si>
    <t>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</si>
  <si>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</si>
  <si>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</si>
  <si>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 П.16.)∙100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</si>
  <si>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</si>
  <si>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</si>
  <si>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</si>
  <si>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Прогноз экономии ЭЭ осуществляется при стабилизации МП на уровне 2007 г.</t>
  </si>
  <si>
    <t>В.2.</t>
  </si>
  <si>
    <t>Экономия ЭЭ  в стоимостном выражении</t>
  </si>
  <si>
    <t>В.1.∙ П.11.(2007)</t>
  </si>
  <si>
    <t>Прогноз экономии ЭЭ осуществляется в ценах 2007 г.</t>
  </si>
  <si>
    <t>В.3.</t>
  </si>
  <si>
    <t>Экономия ТЭ в натуральном выражении</t>
  </si>
  <si>
    <r>
      <t>Ехегодная</t>
    </r>
    <r>
      <rPr>
        <sz val="10"/>
        <rFont val="Arial"/>
        <family val="2"/>
      </rPr>
      <t xml:space="preserve"> экономия по </t>
    </r>
    <r>
      <rPr>
        <b/>
        <sz val="10"/>
        <rFont val="Arial"/>
        <family val="2"/>
      </rPr>
      <t>МКД</t>
    </r>
  </si>
  <si>
    <t>Прогноз экономии ТЭ осуществляется при стабилизации МП на уровне 2007 г.</t>
  </si>
  <si>
    <t>В.4.</t>
  </si>
  <si>
    <t>Экономия ТЭ  в стоимостном выражении</t>
  </si>
  <si>
    <t>В.3.∙ 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</si>
  <si>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</si>
  <si>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</si>
  <si>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</si>
  <si>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Экономия в т.у.т. в МКД</t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</si>
  <si>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с экономией</t>
    </r>
  </si>
  <si>
    <r>
      <t>Объем природного газа, потребляемого (используемого) населением</t>
    </r>
    <r>
      <rPr>
        <b/>
        <sz val="10"/>
        <color indexed="10"/>
        <rFont val="Arial"/>
        <family val="2"/>
      </rPr>
      <t xml:space="preserve"> МКД, с экономией</t>
    </r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</si>
  <si>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МКД без экономии</t>
    </r>
  </si>
  <si>
    <t>лампы</t>
  </si>
  <si>
    <t>приборы и утепление стен и др. мероприятия</t>
  </si>
  <si>
    <t xml:space="preserve">Ежегодная экономия </t>
  </si>
  <si>
    <t>Прогноз экономии воды осуществляется при стабилизации МП на уровне 2007 г.</t>
  </si>
  <si>
    <t>В.6.</t>
  </si>
  <si>
    <t>Экономия воды в стоимостном выражении</t>
  </si>
  <si>
    <t>В.5.∙ П.13.(2007)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</si>
  <si>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</si>
  <si>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</si>
  <si>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</si>
  <si>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Прогноз экономии газа осуществляется при стабилизации МП на уровне 2007 г.</t>
  </si>
  <si>
    <t>В.8.</t>
  </si>
  <si>
    <t>Экономия природного газа  в стоимостном выражении</t>
  </si>
  <si>
    <t>руб.</t>
  </si>
  <si>
    <t>В.7.∙ 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</si>
  <si>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</si>
  <si>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</si>
  <si>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</si>
  <si>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</si>
  <si>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</si>
  <si>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П.19.(n)/ П.20.(n)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</si>
  <si>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</si>
  <si>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</si>
  <si>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С.3</t>
  </si>
  <si>
    <t>Изменение уд.расхода ТЭ БУ, расчеты за которую осуществляются с использованием приборов учета на 1 кв.м. общей площади</t>
  </si>
  <si>
    <t>где n →2020г.</t>
  </si>
  <si>
    <t>С.4.</t>
  </si>
  <si>
    <t>Изменение уд.расхода ТЭ БУ, расчеты за которую осуществляются с применением расчетным способом на 1 кв.м. общей площади</t>
  </si>
  <si>
    <t>С.5.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</si>
  <si>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</si>
  <si>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</si>
  <si>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С.6.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</si>
  <si>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</si>
  <si>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</si>
  <si>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 П.24.</t>
  </si>
  <si>
    <t>С.7.</t>
  </si>
  <si>
    <t>Уд.расход воды на обеспечение БУ, расчеты за которую осуществляются с применением расчетных способов на 1 чел.</t>
  </si>
  <si>
    <t>П.25/ П.26.</t>
  </si>
  <si>
    <t>С.8.</t>
  </si>
  <si>
    <t>Изменение уд.расхода воды на обеспечение БУ, расчеты за которую осуществляются с использованием приборов учета на 1 чел.</t>
  </si>
  <si>
    <t>С.6.(n) - C.6.(2009)</t>
  </si>
  <si>
    <t>С.9.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</si>
  <si>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</si>
  <si>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С.7.(n) - C.7.(2009)</t>
  </si>
  <si>
    <t>С.10.</t>
  </si>
  <si>
    <t>Изменение отношения уд.расхода воды на обеспечение БУ, расчеты за которую осуществляются с применением расчетных способов, к уд.расходу воды на обеспечение БУ, расчеты за которую осуществляются с использованием приборов учета</t>
  </si>
  <si>
    <t>С.7(n)/С.6(n) - С.7(2009)/С.6(2009)</t>
  </si>
  <si>
    <t>С.11.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</si>
  <si>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</si>
  <si>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</si>
  <si>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С.12.</t>
  </si>
  <si>
    <t>Уд.расход ЭЭ на обеспечение БУ, расчеты за которую осуществляются с применением расчетных способов на 1 чел.</t>
  </si>
  <si>
    <t>С.13.</t>
  </si>
  <si>
    <t>Изменение уд.расхода ЭЭ на обеспечение БУ, расчеты за которую осуществляются с использованием приборов учета на 1 чел.</t>
  </si>
  <si>
    <t>С.11.(n) - C.11.(2009)</t>
  </si>
  <si>
    <t>С.14.</t>
  </si>
  <si>
    <t>Изменение уд.расхода ЭЭ на обеспечение БУ, расчеты за которую осуществляются с применением расчетных способов на 1 чел.</t>
  </si>
  <si>
    <t>С.12.(n) - C.12.(2009)</t>
  </si>
  <si>
    <t>С.15.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</si>
  <si>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</si>
  <si>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С.12(n)/С.11(n) - С.12(2009)/С.11(2009)</t>
  </si>
  <si>
    <t>С.16.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</si>
  <si>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</si>
  <si>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 П.27.+ П.29.)∙100</t>
  </si>
  <si>
    <t>С.17.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</si>
  <si>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</si>
  <si>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 П.19.+ П.21.)∙100</t>
  </si>
  <si>
    <t>С.18.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</si>
  <si>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</si>
  <si>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 П.23.+ П.25.)∙100</t>
  </si>
  <si>
    <t>С.19.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</si>
  <si>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</si>
  <si>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 П.31.)∙100</t>
  </si>
  <si>
    <t>С.20.</t>
  </si>
  <si>
    <t xml:space="preserve">Доля расходов бюджета МО на обеспечение энергетическими ресурсами БУ </t>
  </si>
  <si>
    <t>С.20.1.</t>
  </si>
  <si>
    <t>для фактических условий</t>
  </si>
  <si>
    <t>П.34.(n)/ П.33.(n)</t>
  </si>
  <si>
    <t>где n - отчетный год,  (n+1) - последующий год</t>
  </si>
  <si>
    <t>С.20.2.</t>
  </si>
  <si>
    <t>для сопоставимых условий</t>
  </si>
  <si>
    <t>П.34.(n) / П.33.(2009)</t>
  </si>
  <si>
    <t>С.21.</t>
  </si>
  <si>
    <t>Динамика расходов бюджета МО на обеспечение энергетическими ресурсами БУ (для фактических и сопоставимых условий)</t>
  </si>
  <si>
    <t>С.21.1.</t>
  </si>
  <si>
    <t>[С.20.1.(n+1)/C.20.1.(n)] ∙100</t>
  </si>
  <si>
    <t>С.21.2.</t>
  </si>
  <si>
    <t>[С.20.2.(n)/C.20.2.(2009)] ∙100</t>
  </si>
  <si>
    <t>С.22.</t>
  </si>
  <si>
    <t>Доля расходов бюджета МО на предоставление субсидий организациям коммунального комплекса на приобретение топлива</t>
  </si>
  <si>
    <t>(П.35./ П.33.)∙100</t>
  </si>
  <si>
    <t>С.23.</t>
  </si>
  <si>
    <r>
      <t>Общие сведения для расчета целевых показателей</t>
    </r>
    <r>
      <rPr>
        <b/>
        <sz val="14"/>
        <color indexed="12"/>
        <rFont val="Times New Roman"/>
        <family val="1"/>
      </rPr>
      <t xml:space="preserve"> для муниципальных </t>
    </r>
    <r>
      <rPr>
        <b/>
        <sz val="14"/>
        <rFont val="Times New Roman"/>
        <family val="1"/>
      </rPr>
      <t>программ</t>
    </r>
  </si>
  <si>
    <t>Динамика расходов бюджета МО на предоставление субсидий организациям коммунального комплекса на приобретение топлива</t>
  </si>
  <si>
    <t>[С.22.(n)/C.22.(2009)] ∙100</t>
  </si>
  <si>
    <t>С.24.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</si>
  <si>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</si>
  <si>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 xml:space="preserve"> тыс.м3</t>
  </si>
  <si>
    <t>П.37.(n)/ П.36.(n) ∙100</t>
  </si>
  <si>
    <t>С.25.</t>
  </si>
  <si>
    <t>Число энергосервисных договоров, заключенных муниципальными заказчиками</t>
  </si>
  <si>
    <t>П.38.(n)</t>
  </si>
  <si>
    <t>С.26.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</si>
  <si>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</si>
  <si>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П.40(n)/ П.39(n) ∙100</t>
  </si>
  <si>
    <t>С.27.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</si>
  <si>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</si>
  <si>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П.42(n)/ П.41(n) ∙100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</si>
  <si>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</si>
  <si>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</si>
  <si>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</si>
  <si>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П.43(n)/ П.44(n)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</si>
  <si>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</si>
  <si>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</si>
  <si>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r>
      <t xml:space="preserve">Объем природного газа, потребляемого (используемого) </t>
    </r>
    <r>
      <rPr>
        <b/>
        <sz val="10"/>
        <color indexed="10"/>
        <rFont val="Arial"/>
        <family val="2"/>
      </rPr>
      <t xml:space="preserve">всем </t>
    </r>
    <r>
      <rPr>
        <sz val="10"/>
        <color indexed="10"/>
        <rFont val="Arial"/>
        <family val="2"/>
      </rPr>
      <t xml:space="preserve"> населением</t>
    </r>
    <r>
      <rPr>
        <b/>
        <sz val="10"/>
        <color indexed="10"/>
        <rFont val="Arial"/>
        <family val="2"/>
      </rPr>
      <t xml:space="preserve">  с экономией</t>
    </r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</si>
  <si>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</si>
  <si>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(П.46(n)/ П.45(n))∙100</t>
  </si>
  <si>
    <t>D.2.</t>
  </si>
  <si>
    <t xml:space="preserve">Расход ТЭ населением по приборам учета, 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</si>
  <si>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</si>
  <si>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(П.48(n)/ П.47(n))∙100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</si>
  <si>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</si>
  <si>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</si>
  <si>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(П.49(n)/ П.47(n))∙100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</si>
  <si>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</si>
  <si>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</si>
  <si>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(П.51(n)/ П.50(n))∙100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</si>
  <si>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</si>
  <si>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</si>
  <si>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(П.53(n)/ П.52(n))∙100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</si>
  <si>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</si>
  <si>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</si>
  <si>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(П.55(n)/ П.54(n))∙100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</si>
  <si>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</si>
  <si>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</si>
  <si>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(П.57(n)/ П.56(n))∙100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</si>
  <si>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</si>
  <si>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</si>
  <si>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(П.58(n)/ П.56(n))∙100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</si>
  <si>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</si>
  <si>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</si>
  <si>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(П.60(n)/ П.59(n))∙100</t>
  </si>
  <si>
    <t>D.10.</t>
  </si>
  <si>
    <t>Бензин, тонн</t>
  </si>
  <si>
    <t>дизельное топливо, т</t>
  </si>
  <si>
    <t>прочие виды нефтепродуктов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</si>
  <si>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</si>
  <si>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(П.62(n)/ П.61(n))∙100</t>
  </si>
  <si>
    <t>D.11.</t>
  </si>
  <si>
    <t>Число жилых домов, в отношении которых проведено ЭО</t>
  </si>
  <si>
    <t>П.64(n)</t>
  </si>
  <si>
    <t>D.12.</t>
  </si>
  <si>
    <t>Доля жилых домов, в отношении которых проведено ЭО, в общем числе жилых домов</t>
  </si>
  <si>
    <t>(П.64(n)/ П.63(n))∙100</t>
  </si>
  <si>
    <t>D.13.</t>
  </si>
  <si>
    <r>
      <t>Экономия в т.у.т. без МКД к 2007,</t>
    </r>
    <r>
      <rPr>
        <b/>
        <u val="single"/>
        <sz val="10"/>
        <rFont val="Arial"/>
        <family val="2"/>
      </rPr>
      <t xml:space="preserve"> без перевода печного</t>
    </r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</si>
  <si>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</si>
  <si>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(П.51(n)+ П.53(n))/ П.65(n)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</si>
  <si>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</si>
  <si>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</si>
  <si>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(П.50(n)- П.51(n))./ П.66(n)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</si>
  <si>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</si>
  <si>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</si>
  <si>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</si>
  <si>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D.13(n+1) - D.13.(n)</t>
  </si>
  <si>
    <t>D.15.2.</t>
  </si>
  <si>
    <t>D.13(n) - D.13(2009)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</si>
  <si>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</si>
  <si>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</si>
  <si>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</si>
  <si>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</si>
  <si>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</si>
  <si>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D.14.(n) - D.14.(2009)</t>
  </si>
  <si>
    <t>D.17.</t>
  </si>
  <si>
    <t>литры</t>
  </si>
  <si>
    <t>тут</t>
  </si>
  <si>
    <t>тонн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</si>
  <si>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</si>
  <si>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</si>
  <si>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D.14(n+1)/D.13(n+1) - D.14(n)/D.13(n)</t>
  </si>
  <si>
    <t>D.17.2.</t>
  </si>
  <si>
    <t>D.14(n)/D.13(n) - D.14(2009)/D.13(2009)</t>
  </si>
  <si>
    <t>D.18.</t>
  </si>
  <si>
    <t>Общая экономия ПО ВСЕМ ДОМАМ ОТ 2007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</si>
  <si>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</si>
  <si>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</si>
  <si>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(П.55(n)+ П.57(n))/ П.67(n)</t>
  </si>
  <si>
    <t>D.19.</t>
  </si>
  <si>
    <t>(П.54(n)- П.55(n))/ П.69(n)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</si>
  <si>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</si>
  <si>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</si>
  <si>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</si>
  <si>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</si>
  <si>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</si>
  <si>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D.18.(n) - D.18.(2009)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</si>
  <si>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</si>
  <si>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</si>
  <si>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</si>
  <si>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</si>
  <si>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</si>
  <si>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D.19.(n) - D.19.(2009)</t>
  </si>
  <si>
    <t>D.22.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</si>
  <si>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площади);, в том числе МКД</t>
  </si>
  <si>
    <t>Общее потребление  2007</t>
  </si>
  <si>
    <t>Общее потребление  2008</t>
  </si>
  <si>
    <t>Общее потребление   2009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</si>
  <si>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</si>
  <si>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</si>
  <si>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D.19(n+1)/D.18(n+1) - D.19(n)/D.18(n)</t>
  </si>
  <si>
    <t>D.22.2.</t>
  </si>
  <si>
    <t>D.19(n)/D.18(n) - D.19(2009)/D.18(2009)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</si>
  <si>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</si>
  <si>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</si>
  <si>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</si>
  <si>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(П.46(n)+ П.48(n))/ П.69(n)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</si>
  <si>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</si>
  <si>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</si>
  <si>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(П.45(n)- П.46(n))/ П.70(n)</t>
  </si>
  <si>
    <t>D.25.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</si>
  <si>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</si>
  <si>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</si>
  <si>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</si>
  <si>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</si>
  <si>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D.23.(n) - D.23.(2009)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</si>
  <si>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</si>
  <si>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</si>
  <si>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</si>
  <si>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</si>
  <si>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</si>
  <si>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D.24.(n) - D.24.(2009)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</si>
  <si>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</si>
  <si>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</si>
  <si>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</si>
  <si>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D.24(n+1)/D.23(n+1) - D.24(n)/D.23(n)</t>
  </si>
  <si>
    <t>D.27.2.</t>
  </si>
  <si>
    <t>D.24(n)/D.23(n) - D.24(2009)/D.23(2009)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</si>
  <si>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</si>
  <si>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</si>
  <si>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</si>
  <si>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(П.60(n)+ П.62(n))/ П.71(n)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</si>
  <si>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</si>
  <si>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</si>
  <si>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(П.59(n)- П.60(n))/ П.72(n)</t>
  </si>
  <si>
    <t>D.30.</t>
  </si>
  <si>
    <t>% от 2007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</si>
  <si>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</si>
  <si>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</si>
  <si>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</si>
  <si>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</si>
  <si>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D.28.(n) - D.28.(2009)</t>
  </si>
  <si>
    <t>D.31.</t>
  </si>
  <si>
    <t>по приборам учета, всего</t>
  </si>
  <si>
    <t>% объема хвс по приборам учета</t>
  </si>
  <si>
    <t>Расход ХВС всего расчетным способом с учетом экономии</t>
  </si>
  <si>
    <t>Экономия воды в натуральном выражении, тыс.м.куб</t>
  </si>
  <si>
    <t>Экономия тепловой энергии в натуральном выражении, тыс.Гкал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</si>
  <si>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</si>
  <si>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</si>
  <si>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</si>
  <si>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</si>
  <si>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D.29.(n) - D.29.(2009)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</si>
  <si>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</si>
  <si>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</si>
  <si>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</si>
  <si>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D.29(n+1)/D.28(n+1) - D.29(n)/D.28(n)</t>
  </si>
  <si>
    <t>D.32.2.</t>
  </si>
  <si>
    <t>D.29(n)/D.28(n) - D.29(2009)/D.28(2009)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</si>
  <si>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</si>
  <si>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</si>
  <si>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</si>
  <si>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</si>
  <si>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 П.73(2009)</t>
  </si>
  <si>
    <t>1. Составляется прогноз по значению параметра до 2020г.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</si>
  <si>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</si>
  <si>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</si>
  <si>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</si>
  <si>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– П.74(2009)</t>
  </si>
  <si>
    <t>Е.3.</t>
  </si>
  <si>
    <t>Динамика изменения фактического объема потерь ЭЭ при ее передаче по распределительным сетям</t>
  </si>
  <si>
    <t>[П.75(n)/П.75(2009)] ∙100</t>
  </si>
  <si>
    <t>Е.4.</t>
  </si>
  <si>
    <t>Динамика изменения фактического объема потерь ТЭ при ее передаче</t>
  </si>
  <si>
    <t>[П.76(n)/П.76(2009)] ∙100</t>
  </si>
  <si>
    <t>Е.5.</t>
  </si>
  <si>
    <t>Динамика изменения фактического объема потерь воды при ее передаче</t>
  </si>
  <si>
    <t>[П.77(n)/П.77(2009)] ∙100</t>
  </si>
  <si>
    <t>Е.6.</t>
  </si>
  <si>
    <t>Динамика изменения объемов ЭЭ, используемой при передаче (транспортировке) воды</t>
  </si>
  <si>
    <t>[П.78(n)/П.78(2009)] ∙100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</si>
  <si>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</si>
  <si>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</si>
  <si>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</si>
  <si>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[П.79.(n)/ П.79.(2009)] ∙100</t>
  </si>
  <si>
    <t>1. Составляется график проведения мероприятий по энергоэффективности транспорта.                                2. 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</si>
  <si>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</si>
  <si>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</si>
  <si>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п2/п1</t>
  </si>
  <si>
    <t>(п7/п3)*100%</t>
  </si>
  <si>
    <t>(п8/п4)*100%</t>
  </si>
  <si>
    <t>Расход теп.эн. по счетч. К 2007 году</t>
  </si>
  <si>
    <t>(п9/п5)*100%</t>
  </si>
  <si>
    <t>(п10/п6)*100%</t>
  </si>
  <si>
    <t>(п18/п17)*100%</t>
  </si>
  <si>
    <t>п15(n+1) - п15(n)</t>
  </si>
  <si>
    <t>(п15/п16)*100%</t>
  </si>
  <si>
    <t>[(А.1.(2007) - А.1.(n))/ А.1.(2007)]* п3(2007)</t>
  </si>
  <si>
    <t>В.1.*п.11.(2007)</t>
  </si>
  <si>
    <t>[(А.1.(2007) - А.1.(n))/ А.1.(2007)]* п4(2007)</t>
  </si>
  <si>
    <t>В.3.*п12(2007)</t>
  </si>
  <si>
    <t>[(А.1.(2007) - А.1.(n))/ А.1.(2007)]* п5(2007)</t>
  </si>
  <si>
    <t>В.5.*п13(2007)</t>
  </si>
  <si>
    <r>
      <t>Экономия</t>
    </r>
    <r>
      <rPr>
        <sz val="10"/>
        <rFont val="Arial"/>
        <family val="0"/>
      </rPr>
      <t xml:space="preserve"> хвс </t>
    </r>
    <r>
      <rPr>
        <b/>
        <sz val="10"/>
        <rFont val="Arial"/>
        <family val="2"/>
      </rPr>
      <t>МКД (10%) от 2007г</t>
    </r>
  </si>
  <si>
    <r>
      <t>Экономия</t>
    </r>
    <r>
      <rPr>
        <sz val="10"/>
        <rFont val="Arial"/>
        <family val="0"/>
      </rPr>
      <t xml:space="preserve"> в нат пок ( 10%) к 2007г</t>
    </r>
  </si>
  <si>
    <t xml:space="preserve"> </t>
  </si>
  <si>
    <t>[П.80.(n)/П.80.(2009)] ∙100</t>
  </si>
  <si>
    <t>Энергоемкость</t>
  </si>
  <si>
    <t>Расход ТЭ БУ</t>
  </si>
  <si>
    <t>расход воды на БУ</t>
  </si>
  <si>
    <t>Расход ЭЭ на обеспечение БУ</t>
  </si>
  <si>
    <t>БЮДЖЕТЫ (Экономия)</t>
  </si>
  <si>
    <t>ЭКОНОМИЯ</t>
  </si>
  <si>
    <t>Экономия в нат пок</t>
  </si>
  <si>
    <t>к-т</t>
  </si>
  <si>
    <t>Экономия в т.у.т.</t>
  </si>
  <si>
    <r>
      <t xml:space="preserve">Расход </t>
    </r>
    <r>
      <rPr>
        <b/>
        <sz val="12"/>
        <color indexed="10"/>
        <rFont val="Times New Roman"/>
        <family val="1"/>
      </rPr>
      <t xml:space="preserve">ТЭ </t>
    </r>
    <r>
      <rPr>
        <sz val="12"/>
        <rFont val="Times New Roman"/>
        <family val="1"/>
      </rPr>
      <t>БУ</t>
    </r>
  </si>
  <si>
    <r>
      <t>Расход</t>
    </r>
    <r>
      <rPr>
        <b/>
        <sz val="12"/>
        <color indexed="10"/>
        <rFont val="Times New Roman"/>
        <family val="1"/>
      </rPr>
      <t xml:space="preserve"> ЭЭ</t>
    </r>
    <r>
      <rPr>
        <sz val="12"/>
        <rFont val="Times New Roman"/>
        <family val="1"/>
      </rPr>
      <t xml:space="preserve"> на обеспечение БУ</t>
    </r>
  </si>
  <si>
    <r>
      <t>Объем природного</t>
    </r>
    <r>
      <rPr>
        <b/>
        <sz val="12"/>
        <color indexed="10"/>
        <rFont val="Times New Roman"/>
        <family val="1"/>
      </rPr>
      <t xml:space="preserve"> газа</t>
    </r>
    <r>
      <rPr>
        <sz val="12"/>
        <rFont val="Times New Roman"/>
        <family val="1"/>
      </rPr>
      <t>, потребляемого (используемого) БУ МО</t>
    </r>
  </si>
  <si>
    <t>ИТОГО экономия в т.у.т.</t>
  </si>
  <si>
    <t>НАСЕЛЕНИЕ (Экономия)</t>
  </si>
  <si>
    <t>поставить реальное кол-во многоэт</t>
  </si>
  <si>
    <t>Электроемкость</t>
  </si>
  <si>
    <t>Теплоемкость</t>
  </si>
  <si>
    <t>Водоемкость</t>
  </si>
  <si>
    <t>Газоемкость</t>
  </si>
  <si>
    <t>ВСЕГО экономия т.у.т.</t>
  </si>
  <si>
    <t>Расход ЭЭ на обеспечение населения</t>
  </si>
  <si>
    <t>Годы</t>
  </si>
  <si>
    <t>Экономия природного газа в натуральном выражении, тыс. куб.м</t>
  </si>
  <si>
    <t>Экономия электроэнергии в натуральном выражении, тыс. кВт*ч</t>
  </si>
  <si>
    <t>Расход ЭЭ населения по приборам учета</t>
  </si>
  <si>
    <t>Энергоресурсы</t>
  </si>
  <si>
    <t>в натуральном выражении</t>
  </si>
  <si>
    <t>в условном выражении</t>
  </si>
  <si>
    <t>стоимость</t>
  </si>
  <si>
    <t>тыс. руб.</t>
  </si>
  <si>
    <t xml:space="preserve">    %</t>
  </si>
  <si>
    <t>Электроэнергия, тыс. кВт, в том числе выработанная внутри области</t>
  </si>
  <si>
    <t>Газ природный,</t>
  </si>
  <si>
    <t xml:space="preserve"> млн. куб. м</t>
  </si>
  <si>
    <t xml:space="preserve">Газ сжиженный, </t>
  </si>
  <si>
    <t>тыс. тонн</t>
  </si>
  <si>
    <t>Мазут топочный, тыс. тонн</t>
  </si>
  <si>
    <t>Уголь каменный, тыс. тонн</t>
  </si>
  <si>
    <t>Дрова для отопления,</t>
  </si>
  <si>
    <t>тыс. м3</t>
  </si>
  <si>
    <t>Торф-брикет и торф кусковой,  тыс. тонн</t>
  </si>
  <si>
    <t>И Т О Г О:</t>
  </si>
  <si>
    <t>Объем природного газа, потребляемого (используемого) населением по приборам учета</t>
  </si>
  <si>
    <t>тыс.квтч</t>
  </si>
  <si>
    <t>тыс кВтч</t>
  </si>
  <si>
    <t>ЭЛЕКТРОЭНЕРГИЯ, тыс.кВтч, экономия по отн. К 2007 ВСЕГО</t>
  </si>
  <si>
    <t>ЭКОНОМИЯ ТЭР</t>
  </si>
  <si>
    <t>тыс. т.у.т.</t>
  </si>
  <si>
    <t>тыс т.у.т.</t>
  </si>
  <si>
    <t>тыс. т.у.т., в т.числе:</t>
  </si>
  <si>
    <t>население</t>
  </si>
  <si>
    <t>бюджет</t>
  </si>
  <si>
    <t>прочее</t>
  </si>
  <si>
    <t>ЭКОНОМИЯ уличное освещение</t>
  </si>
  <si>
    <t>Экономия в нат пок ( от 4 до 10%) по отношению к 2007г</t>
  </si>
  <si>
    <t>ЭКОНОМИЯ ВОДЫ население по приборам учета ежегодная</t>
  </si>
  <si>
    <t>ЭКОНОМИЯ ВОДЫ ежегодная (бюджеты) и население</t>
  </si>
  <si>
    <t>ПЕЧНОЕ ТОПЛИВО</t>
  </si>
  <si>
    <t>% от общих тут</t>
  </si>
  <si>
    <t>перевод в газ</t>
  </si>
  <si>
    <t>ПРОЧЕЕ ТОПЛИВО</t>
  </si>
  <si>
    <t>тыс тут</t>
  </si>
  <si>
    <t>Общее потребление   2019</t>
  </si>
  <si>
    <t>потребление прочего топлива в тут в 2019 году</t>
  </si>
  <si>
    <t>факт.потребл ээнергии на ул.освещ</t>
  </si>
  <si>
    <t>норматив</t>
  </si>
  <si>
    <t>% от общей экономии тут</t>
  </si>
  <si>
    <t>ТЕПЛОВАЯ ЭНЕРГИЯ</t>
  </si>
  <si>
    <t>Расход ТЭ населением, с учетом экономии (всей)</t>
  </si>
  <si>
    <t xml:space="preserve"> тыс.Гкал</t>
  </si>
  <si>
    <t>тыс Гкал</t>
  </si>
  <si>
    <t>ГАЗ</t>
  </si>
  <si>
    <t>ЭКОНОМИЯ ГАЗА</t>
  </si>
  <si>
    <t>тыс.м3</t>
  </si>
  <si>
    <t>ЭКОНОМИЯ ГАЗА в нат.показателях</t>
  </si>
  <si>
    <t>ЭКОНОМИЯ Т.Э. в натур. показателях</t>
  </si>
  <si>
    <t>тыс м3</t>
  </si>
  <si>
    <t>тыс.куб.м</t>
  </si>
  <si>
    <r>
      <t xml:space="preserve">(данные берутся из </t>
    </r>
    <r>
      <rPr>
        <b/>
        <u val="single"/>
        <sz val="11"/>
        <rFont val="Times New Roman"/>
        <family val="1"/>
      </rPr>
      <t>Приложения 2</t>
    </r>
    <r>
      <rPr>
        <b/>
        <sz val="11"/>
        <rFont val="Times New Roman"/>
        <family val="1"/>
      </rPr>
      <t>)</t>
    </r>
  </si>
  <si>
    <t>тыс.тут экономия</t>
  </si>
  <si>
    <t>УЛИЧНОЕ ОСВЕЩЕНИЕ</t>
  </si>
  <si>
    <t>Общие сведения</t>
  </si>
  <si>
    <t>Экономия в нат. Показателях от 2007</t>
  </si>
  <si>
    <t>печное и другие виды для отопления населения в  газ</t>
  </si>
  <si>
    <t>Единица измерения</t>
  </si>
  <si>
    <t>года</t>
  </si>
  <si>
    <t>Муниципальный продукт(налоги в бюджет + прибыль организаций производящих продукцию, услуги и.д. + ФОТ)</t>
  </si>
  <si>
    <t>млрд.руб.</t>
  </si>
  <si>
    <t>Потребление ТЭР МО</t>
  </si>
  <si>
    <t>тыс.т.у.т.</t>
  </si>
  <si>
    <t>Объем потребления ЭЭ МО</t>
  </si>
  <si>
    <t>тыс. кВтч</t>
  </si>
  <si>
    <t>Объем потребления ТЭ МО</t>
  </si>
  <si>
    <t>тыс. Гкал</t>
  </si>
  <si>
    <t>Объем потребления воды МО</t>
  </si>
  <si>
    <t>тыс. куб.м.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</si>
  <si>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</si>
  <si>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</si>
  <si>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ТЭ, расчеты за которую осуществляются с использованием приборов учета (в части МКД - с использованием коллективных приборов учета)</t>
  </si>
  <si>
    <t>тыс.Гкал</t>
  </si>
  <si>
    <t>Объем потребления воды,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</si>
  <si>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природного газа, расчеты за который осуществляются с использованием приборов учета(в части МКД - с использованием индивидуальных и общих приборов учета)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</si>
  <si>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</si>
  <si>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</si>
  <si>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</si>
  <si>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</si>
  <si>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</si>
  <si>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</si>
  <si>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</si>
  <si>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</si>
  <si>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</si>
  <si>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</si>
  <si>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</si>
  <si>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Годы:</t>
  </si>
  <si>
    <t>тыс. т.у.т./млрд.руб.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</si>
  <si>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</si>
  <si>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</si>
  <si>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</si>
  <si>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</si>
  <si>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</si>
  <si>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</si>
  <si>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</si>
  <si>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</si>
  <si>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штатных сотрудников и контингента БУ, в которых расчеты за расход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</si>
  <si>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</si>
  <si>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</si>
  <si>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расход воды осуществляют с применением расчетных способов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</si>
  <si>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</si>
  <si>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</si>
  <si>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 xml:space="preserve">Численность штатных сотрудников и контингента БУ, в которых расчеты за ЭЭ осуществляют с использованием приборов учета </t>
  </si>
  <si>
    <t>Расход ЭЭ на обеспечение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</si>
  <si>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ЭЭ осуществляют с применением расчетного способа</t>
  </si>
  <si>
    <t>Объем природного газа, потребляемого (используемого) БУ МО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</si>
  <si>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</si>
  <si>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>Бюджет МО</t>
  </si>
  <si>
    <t>тыс.руб.</t>
  </si>
  <si>
    <t>Расходы бюджета МО на обеспечение энергетическими ресурсами БУ</t>
  </si>
  <si>
    <t>Расходы МО на предоставление субсидий организациям коммунального комплекса на приобретение топлива</t>
  </si>
  <si>
    <t>Общее количество БУ</t>
  </si>
  <si>
    <t>шт.</t>
  </si>
  <si>
    <t>Количество БУ финансируемых за счет бюджета,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</si>
  <si>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</si>
  <si>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</si>
  <si>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</si>
  <si>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</si>
  <si>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</si>
  <si>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>Расходы бюджета МО на предоставление социальной поддержки гражданам по оплате жилого помещения и коммунальных услуг (льгот)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</si>
  <si>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</si>
  <si>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МО</t>
  </si>
  <si>
    <t xml:space="preserve">Объем ЭЭ,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 </t>
  </si>
  <si>
    <t>Объем ЭЭ, потребляемой (используемой) в многоквартирных домах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</si>
  <si>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</si>
  <si>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ЭЭ,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</si>
  <si>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МО</t>
  </si>
  <si>
    <t>Объем ТЭ, потребляемой (используемой) в жилых домах МО, расчеты за которую осуществляются с использованием приборов учета</t>
  </si>
  <si>
    <t>Объем ТЭ, потребляемой (используемой) в многоквартирных домах МО</t>
  </si>
  <si>
    <t>Объем ТЭ,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</si>
  <si>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МО</t>
  </si>
  <si>
    <t>куб.м.</t>
  </si>
  <si>
    <r>
      <t>Экономия</t>
    </r>
    <r>
      <rPr>
        <sz val="10"/>
        <rFont val="Arial"/>
        <family val="0"/>
      </rPr>
      <t xml:space="preserve"> воды населением , </t>
    </r>
    <r>
      <rPr>
        <b/>
        <sz val="10"/>
        <rFont val="Arial"/>
        <family val="2"/>
      </rPr>
      <t>частное</t>
    </r>
    <r>
      <rPr>
        <sz val="10"/>
        <rFont val="Arial"/>
        <family val="0"/>
      </rPr>
      <t xml:space="preserve"> 10%) от 2007г</t>
    </r>
  </si>
  <si>
    <t>Объем воды,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</t>
  </si>
  <si>
    <t>Объем воды, потребляемой (используемой) в многоквартирных домах МО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</si>
  <si>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</si>
  <si>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Ежегодная экономия</t>
  </si>
  <si>
    <t>тыс Гкал.</t>
  </si>
  <si>
    <t>ЭКОНОМИЯ Т.Э. по отнош. К 2007</t>
  </si>
  <si>
    <t>Экономия воды всего ежегодная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</si>
  <si>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</si>
  <si>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</si>
  <si>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</si>
  <si>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</si>
  <si>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</si>
  <si>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</si>
  <si>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домов, МО</t>
  </si>
  <si>
    <t>Число жилых домов, в отношении которых проведено энергетическое обследование</t>
  </si>
  <si>
    <t xml:space="preserve">Площадь жилых домов,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</si>
  <si>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ТЭ осуществляют с применением расчетных способов (нормативов потребления) </t>
  </si>
  <si>
    <t xml:space="preserve">Площадь жилых домов,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</si>
  <si>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</si>
  <si>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</si>
  <si>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применением расчетных способов (нормативов потребления) </t>
  </si>
  <si>
    <t xml:space="preserve">Площадь жилых домов,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</si>
  <si>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домов, где расчеты за природный газ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</si>
  <si>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</si>
  <si>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</si>
  <si>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</si>
  <si>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</si>
  <si>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</si>
  <si>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</si>
  <si>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</si>
  <si>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</si>
  <si>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</si>
  <si>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r>
      <t xml:space="preserve">Расход хвс населением, по приборам, </t>
    </r>
    <r>
      <rPr>
        <b/>
        <sz val="10"/>
        <rFont val="Arial"/>
        <family val="2"/>
      </rPr>
      <t>частники</t>
    </r>
  </si>
  <si>
    <r>
      <t xml:space="preserve">Расход хвс населением,  </t>
    </r>
    <r>
      <rPr>
        <b/>
        <sz val="10"/>
        <rFont val="Arial"/>
        <family val="2"/>
      </rPr>
      <t>МКД</t>
    </r>
  </si>
  <si>
    <t xml:space="preserve"> тыс. руб.</t>
  </si>
  <si>
    <t>тыс. м.куб</t>
  </si>
  <si>
    <t>Гкал/ кв.м.</t>
  </si>
  <si>
    <r>
      <t xml:space="preserve">Расход хвс населением, по приборам, </t>
    </r>
    <r>
      <rPr>
        <b/>
        <sz val="10"/>
        <rFont val="Arial"/>
        <family val="2"/>
      </rPr>
      <t>МКД</t>
    </r>
  </si>
  <si>
    <t>частники</t>
  </si>
  <si>
    <t>МКД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</si>
  <si>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</si>
  <si>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Экономия воды населением всего с нарастающим</t>
  </si>
  <si>
    <t>Экономия воды ежегодная, по приборам учета</t>
  </si>
  <si>
    <t>ЭКОНОМИЯ ВОДЫ бюджеты к 2007</t>
  </si>
  <si>
    <t>т.куб.м</t>
  </si>
  <si>
    <t>Объем воды, потребляемой БУ</t>
  </si>
  <si>
    <t>Экономия воды к 2009 году</t>
  </si>
  <si>
    <r>
      <t xml:space="preserve">расход ХВС с учетом экономии, </t>
    </r>
    <r>
      <rPr>
        <b/>
        <sz val="10"/>
        <rFont val="Arial"/>
        <family val="2"/>
      </rPr>
      <t>всего</t>
    </r>
  </si>
  <si>
    <r>
      <t xml:space="preserve">Экономия </t>
    </r>
    <r>
      <rPr>
        <sz val="10"/>
        <rFont val="Arial"/>
        <family val="0"/>
      </rPr>
      <t>по счетчикам (10-15%) к 2007г</t>
    </r>
  </si>
  <si>
    <r>
      <t>Экономия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0"/>
      </rPr>
      <t xml:space="preserve">по счетчикам (10-15%)  и по мероприятиям </t>
    </r>
    <r>
      <rPr>
        <b/>
        <sz val="10"/>
        <rFont val="Arial"/>
        <family val="2"/>
      </rPr>
      <t>без МКД ежегодная</t>
    </r>
  </si>
  <si>
    <r>
      <t xml:space="preserve">Экономия </t>
    </r>
    <r>
      <rPr>
        <sz val="10"/>
        <rFont val="Arial"/>
        <family val="0"/>
      </rPr>
      <t>по счетчикам (10-15%) к 2007г, с переводом печного топлива</t>
    </r>
  </si>
  <si>
    <t>Плановое значение</t>
  </si>
  <si>
    <t>№ п/п</t>
  </si>
  <si>
    <t>Итого по программе:</t>
  </si>
  <si>
    <t>Целевые индикаторы (показатели)</t>
  </si>
  <si>
    <t>Вывод об эффективности</t>
  </si>
  <si>
    <t>Фактичес-кое значение</t>
  </si>
  <si>
    <t xml:space="preserve">Итоговая сводная оценка </t>
  </si>
  <si>
    <t xml:space="preserve">Эффективность выше плановой </t>
  </si>
  <si>
    <t>Предложения по дальнейшей реализации муниципальной  программы</t>
  </si>
  <si>
    <t xml:space="preserve">Муниципальная программа "Энергосбережение и повышение энергетической эффективности в городе Новозыбков Брянской области на 2015-2020 годы и целевые установки на период до 2025 года"  </t>
  </si>
  <si>
    <r>
      <t>Подпрограмма</t>
    </r>
    <r>
      <rPr>
        <b/>
        <sz val="12"/>
        <rFont val="Times New Roman"/>
        <family val="1"/>
      </rPr>
      <t>: «Выполнение функций администрации города Новозыбкова Брянской области на 2013-2015 годы»</t>
    </r>
  </si>
  <si>
    <t>Строительство и содержание  автомобильных дорог</t>
  </si>
  <si>
    <t>тыс.кв.м.</t>
  </si>
  <si>
    <t>Отношение объема муниципального внутреннего долга г.Новозыбкова к общему годовому объему доходов городского бюджета без учета утвержденного объема безвозмездных поступлений</t>
  </si>
  <si>
    <t>Превышение ставки по привлеченным кредитам коммерческих банков над ставкой рефинансирования Банка России</t>
  </si>
  <si>
    <t>Доля "выпадающих" в результате предоставления налоговых льгот доходов городского бюджета в общем объеме налоговых и неналоговых доходов</t>
  </si>
  <si>
    <t>Доля просроченной кредиторской задолженности по состоянию на конец отчетного периода в общем объеме расходов городского бюджета</t>
  </si>
  <si>
    <t>Доля расходов городского бюджета, формируемого в рамках муниципальных программ</t>
  </si>
  <si>
    <t>Муниципальная программа "Обеспечение жильем молодых семей на 2014-2020 годы"</t>
  </si>
  <si>
    <t>Муниципальная программа «Совершенствование управления муниципальными финансами города Новозыбкова на период до 2018 года"</t>
  </si>
  <si>
    <t>Отношение объема расходов на обслуживание муниципального внутреннего долга г.Новозыбкова к объему расходов городского бюджента, за исключением объема расходов, которые осуществляются за счет субвенций, предоставлямых из бюджетов РФ</t>
  </si>
  <si>
    <t>Доля просроченной кредиторской задолженности в общем объеме расходов городского бюджета</t>
  </si>
  <si>
    <t>Доля расходов городского бюджета, сформированных в рамках муниципальных программ г.Новозыбкова</t>
  </si>
  <si>
    <t>не более 3,0</t>
  </si>
  <si>
    <t>да/нет</t>
  </si>
  <si>
    <t>да</t>
  </si>
  <si>
    <t xml:space="preserve">Муниципальная программа «Реализация полномочий органа местного самоуправления муниципального образования города Новозыбкова на 2014-2018 годы» </t>
  </si>
  <si>
    <t>Муниципальная "Программа социально-экономического развития города Новозыбкова Брянской области на 2014-2018 годы"</t>
  </si>
  <si>
    <t xml:space="preserve"> рублей</t>
  </si>
  <si>
    <t>Количество малых и средних предприятий</t>
  </si>
  <si>
    <t>Среднесписочная численность работников, занятых в сфере  малого и среднего предпринимательства</t>
  </si>
  <si>
    <t xml:space="preserve">Доля среднесписочной численности работников (без внешних совместителей) малых и средних предприятий  в  среднесписочной численности работников (без внешних совместителей) всех предприятий и организаций </t>
  </si>
  <si>
    <t>Оборот малых предприятий по всем видам деятельности</t>
  </si>
  <si>
    <t>Объем налоговых поступлений (единый налог, взимаемый в связи с применением упрощенной системы налогообложения) от субъектов предпринимательства в городском бюджете</t>
  </si>
  <si>
    <t>Доля      субъектов      малого      и среднего предпринимательства    в    сумме уплаченных налогов в бюджет города</t>
  </si>
  <si>
    <t>ед.</t>
  </si>
  <si>
    <t>млн.руб</t>
  </si>
  <si>
    <t>Муниципальная программа "Развитие образования города Новозыбкова" (2014-2018 гг.)</t>
  </si>
  <si>
    <t>Муниципальная программа "Развитие и сохранение культуры, физицеской культуры и спорта города Новозыбкова" (2014-2018 гг.)</t>
  </si>
  <si>
    <t xml:space="preserve">Внедрение федеральных    государственных          
образовательных          стандартов
</t>
  </si>
  <si>
    <t xml:space="preserve">Доля учащихся, включенныхв систему развития       
одаренных детей
</t>
  </si>
  <si>
    <t xml:space="preserve">Охват детей в возрасте от 3-х до 7 лет дошкольным образованием   (в общей численности детей от 3-х до 7 лет) 
</t>
  </si>
  <si>
    <t xml:space="preserve">Доля лиц, сдавших единый государственный экзамен  
по обязательным          предметам, от числа      
выпускников,             участвовавших в ЕГЭ
</t>
  </si>
  <si>
    <t xml:space="preserve">Доля выпускников 9-х     классов                  
общеобразовательных      учреждений, прошедших    
государственную          (итоговую) аттестацию по 
новой форме
</t>
  </si>
  <si>
    <t>Муниципальная программа "Развитие и поддержка малого и  среднего предпринимательства в городе Новозыбкове на 2014-2016 годы"</t>
  </si>
  <si>
    <t>Предоставление дополнительного образования</t>
  </si>
  <si>
    <t xml:space="preserve">Эффектив-ность выше плановой </t>
  </si>
  <si>
    <t>Программа неэффективна</t>
  </si>
  <si>
    <t>тыс.кВт/ч</t>
  </si>
  <si>
    <t>+12,5 (прирост)</t>
  </si>
  <si>
    <t xml:space="preserve">Экономия электрической энергии в натуральном выражении </t>
  </si>
  <si>
    <t xml:space="preserve"> Экономия тепловой энергии в натуральном выражении </t>
  </si>
  <si>
    <t xml:space="preserve">Экономия воды в натуральном выражении </t>
  </si>
  <si>
    <t xml:space="preserve">Экономия природного газа в натуральном выражении </t>
  </si>
  <si>
    <t xml:space="preserve"> Доля объектов  бюджетной сферы, в которых проведены энергетические обследования.</t>
  </si>
  <si>
    <t xml:space="preserve">Доля жилых домов, в отношении которых проведено энергетическое обследование,  в общем числе жилых домов </t>
  </si>
  <si>
    <r>
      <rPr>
        <sz val="7"/>
        <rFont val="Times New Roman"/>
        <family val="1"/>
      </rPr>
      <t>    </t>
    </r>
    <r>
      <rPr>
        <sz val="12"/>
        <rFont val="Times New Roman"/>
        <family val="1"/>
      </rPr>
      <t>Доля объемов ТЭР,  расчеты за которые осуществляются с использованием приборов учета (в части МКД – с использованием коллективных приборов учета), в общем объеме ТЭР, потребляемых на территории города.</t>
    </r>
  </si>
  <si>
    <t xml:space="preserve">1.Цель муниципальной программы:
 Снижение показателей энергоемкости и энергопотребления предприятий и организаций к 2020 году на 15 процентов и на 40 процентов к 2025 году, создание условий для перевода экономики и бюджетной сферы муниципального образования на энергосберегающий путь развития. Определение показателей энергетической эффективности
</t>
  </si>
  <si>
    <t xml:space="preserve">1. Задача муниципальной программы: 
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 эффективность при потреблении энергетических ресурсов, их мониторинга, а также сбора и анализа информации об энергоемкости экономики территории
</t>
  </si>
  <si>
    <t xml:space="preserve">2.Цель муниципальной программы:
Определение потенциала энергосбережения и повышения энергетической эффективности.
Разработка перечня мероприятий по энергосбережению и  повышению энергетической эффективности  и проведение их стоимостной оценки.
</t>
  </si>
  <si>
    <t xml:space="preserve">                                                                                     2. Задача муниципальной программы: 
Расширение практики применения энергосберегающих технологий при модернизации, реконструкции и капитальном ремонте основных фондов объектов энергетики и коммунального комплекса. Проведение энергетических обследований  и паспортизация объектов бюджетной и жилищной сферы.
</t>
  </si>
  <si>
    <t xml:space="preserve">3.Цель муниципальной программы:
Создание условий, обеспечивающих максимально эффективное использование потенциала топливно-энергетических ресурсов для роста экономии и повышения качества жизни г. Новозыбков, за счет сокращения количества потребляемой энергии, выхода на более высокую ступень эффективности.
</t>
  </si>
  <si>
    <t xml:space="preserve">                                                                                     3. Задача муниципальной программы: 
Обеспечение учета всего объема потребляемых энергетических ресурсов.
Нормирование и установление обоснованных лимитов потребления энергетических ресурсов.
</t>
  </si>
  <si>
    <t>1.</t>
  </si>
  <si>
    <t>тыс.м. куб.</t>
  </si>
  <si>
    <t>Продолжить реализацию программных мероприятий</t>
  </si>
  <si>
    <t xml:space="preserve">1. Цель муниципальной программы:
Обеспечение оптимальных условий для развития малого предпринимательства в городе Новозыбкове и повышение его вклада в социально-экономическое развитие города Новозыбкова
</t>
  </si>
  <si>
    <t xml:space="preserve">                                                                                     1. Задача муниципальной программы:
Создание благоприятных правовых и экономических условий для развития малого и среднего предпринимательства
</t>
  </si>
  <si>
    <t>5 025,0</t>
  </si>
  <si>
    <t>Программа признана неэффективной</t>
  </si>
  <si>
    <t>Причина вывода о неэффективности муниципальной программы основана на превышении фактического объема финансирования над плановым по внебюджетным средствам. Денежные средства местного бюджета освоены в полном объеме. Необходимо продолжить реализацию мероприятий программы</t>
  </si>
  <si>
    <t>Объем инвестиций в основной капитал в расчете на 1 жителя</t>
  </si>
  <si>
    <t>Цель муниципальной программы:   1.Формирование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</t>
  </si>
  <si>
    <t xml:space="preserve">2. Задача муниципальной программы: Развитие материально-технической базы объектов социальной сферы и жилищно-коммунального хозяйства.
</t>
  </si>
  <si>
    <r>
      <t xml:space="preserve">Цель муниципальной программы: 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1.Формирование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
</t>
    </r>
  </si>
  <si>
    <r>
      <t xml:space="preserve">1. </t>
    </r>
    <r>
      <rPr>
        <b/>
        <sz val="10"/>
        <rFont val="Times New Roman"/>
        <family val="1"/>
      </rPr>
      <t>Задача муниципальной программы: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Увеличение объема привлеченных инвестиций</t>
    </r>
  </si>
  <si>
    <r>
      <rPr>
        <b/>
        <sz val="10"/>
        <rFont val="Times New Roman"/>
        <family val="1"/>
      </rPr>
      <t xml:space="preserve">Цель муниципальной программы: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1.Формирование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</t>
    </r>
  </si>
  <si>
    <t>Доля площади жилого фонда, обеспеченного всеми видами благоустройства, в общей площади жилого фонда</t>
  </si>
  <si>
    <t xml:space="preserve">3. Задача муниципальной программы:  Развитие здорового образа жизни
</t>
  </si>
  <si>
    <r>
      <t>Доля населения, систематически занимающегося физической культурой и спортом</t>
    </r>
    <r>
      <rPr>
        <sz val="12"/>
        <rFont val="Times New Roman"/>
        <family val="1"/>
      </rPr>
      <t xml:space="preserve"> </t>
    </r>
  </si>
  <si>
    <t>Цель муниципальной программы:  1. 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</t>
  </si>
  <si>
    <t>Охват системой информирования и оповещения населения</t>
  </si>
  <si>
    <t>Создание спасательных постов в местах массового отдыха населения</t>
  </si>
  <si>
    <t xml:space="preserve">Количество объектов, оборудованных системами видеонаблюдения                                                              </t>
  </si>
  <si>
    <t>5. Задача муниципальной программы:     Развитие культуры и поддержка молодежи</t>
  </si>
  <si>
    <t>4.Задача муниципальной программы:        Профилактика правонарушений и безопасность населения</t>
  </si>
  <si>
    <t>Доля населения, участвующего в платных культурно-досуговых мероприятиях</t>
  </si>
  <si>
    <t>Задача муниципальной программы:     6. Развитие социальной инфраструктуры и социальная защита населения</t>
  </si>
  <si>
    <t xml:space="preserve">человек на 1000 
населения
</t>
  </si>
  <si>
    <t>Общий коэффициент рождаемости</t>
  </si>
  <si>
    <t>Общий коэффициент смертности</t>
  </si>
  <si>
    <t>Мероприятия программы подлежат дальнейшей реализации</t>
  </si>
  <si>
    <t>R=21 N=6</t>
  </si>
  <si>
    <t>R=10 N=3</t>
  </si>
  <si>
    <t>R=1 N=1</t>
  </si>
  <si>
    <t xml:space="preserve">R&lt;0,75x(3xN)  1&lt;2,25    </t>
  </si>
  <si>
    <t>Исполнение запланированных ассигнований по задаче:</t>
  </si>
  <si>
    <t>Достигнуто значений показателей по задаче:</t>
  </si>
  <si>
    <t>Достигнуто показателей%</t>
  </si>
  <si>
    <t>Оценка в баллах по каждой задаче (R)</t>
  </si>
  <si>
    <t xml:space="preserve">1.Цель муниципальной программы:
                Организация деятельности администрации муниципального образования город Новозыбков
</t>
  </si>
  <si>
    <t xml:space="preserve">1.1.Задача муниципальной программы:
 Обеспечение выполнения функций администрации г.Новозыбков по реализации полномочий по решению вопросов местного значения. Повышение качества муниципального управления
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</si>
  <si>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Реализация функций администрации  г.Новозыбкова</t>
    </r>
  </si>
  <si>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Реализация запланированных мероприятий муниципальной  подпрограммы органа местного самоуправления</t>
    </r>
  </si>
  <si>
    <t>2.</t>
  </si>
  <si>
    <t>Реализация  переданных  государственных полномочий</t>
  </si>
  <si>
    <t>Сокращение доли несовершеннолетних, состоящих на учете в комиссии по делам несовершеннолетних и защите их прав от общей численности населения в возрасте от 0 до 17 лет</t>
  </si>
  <si>
    <t>Сокращение доли детей-сирот и детей, оставшихся без попечения родителей от общей численности населения в возрасте от 0 до 17 лет</t>
  </si>
  <si>
    <t>Увеличение доли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 от общего количества  детей, которые состоят на учете в органах опеки и попечительства</t>
  </si>
  <si>
    <t xml:space="preserve">2.Цель муниципальной программы:
Обеспечение безопасности граждан
</t>
  </si>
  <si>
    <t xml:space="preserve">2.1.Задача муниципальной программы:
Ликвидация последствий чрезвычайных ситуаций природного и техногенного характера (ЧС) на территории города Новозыбкова;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ситуаций.
</t>
  </si>
  <si>
    <t>Обеспечение круглосуточной бесперебойной работы единой дежурно-диспетчерской службы</t>
  </si>
  <si>
    <t xml:space="preserve">Проведение подготовки, переподготовки и повышения квалификации должностных лиц,  добровольных пожарных команд муниципального образования в интересах гражданской обороны, предупреждения и ликвидации чрезвычайных ситуаций </t>
  </si>
  <si>
    <t>Реализация запланированных мероприятий муниципальной  подпрограммы местного самоуправления</t>
  </si>
  <si>
    <t xml:space="preserve">3.Цель муниципальной программы:
                Обеспечение выполнения и создания условий для реализации муниципальной политики в сфере автомобильных дорог общего пользования и дорожной деятельности; повышение эффективности и безопасности функционирования автомобильных дорог общего пользования местного значения, содействующих развитию экономики, удовлетворению социальных потребностей, повышению жизненного и культурного уровня населения за счет формирования сети автомобильных дорог общего пользования, соответствующей потребностям экономики, населения, государства и бизнеса.
</t>
  </si>
  <si>
    <t xml:space="preserve">
3.1. Задача муниципальной программы:
 Обеспечение сохранности, восстановления и развития автомобильных дорог муниципального значения и условий безопасности движения по ним при эксплуатации дорожной сети; содержание и ремонт автомобильных дорог общего пользования муниципального значения в целях доведения транспортно-эксплуатационных показателей до нормативных требований.
</t>
  </si>
  <si>
    <t xml:space="preserve">1.2.Задача муниципальной программы:
 Обеспечение переданных исполнительно-распорядительному органу муниципального образования государственных полномочий; защита прав и законных интересов несовершеннолетних, лиц из числа детей-сирот и 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обстоятельствах.
</t>
  </si>
  <si>
    <t>Обустройство тротуаров</t>
  </si>
  <si>
    <t>Реализация запланированных мероприятий муниципальной  подпрограммы органа местного самоуправления</t>
  </si>
  <si>
    <t xml:space="preserve">4. Цель муниципальной программы:
Улучшение качества пассажирских перевозок
</t>
  </si>
  <si>
    <t xml:space="preserve">
4.1.Задача муниципальной программы:
Сохранение технических и экономических параметров функционирования транспортной системы города
</t>
  </si>
  <si>
    <r>
      <t xml:space="preserve"> </t>
    </r>
    <r>
      <rPr>
        <sz val="12"/>
        <rFont val="Times New Roman"/>
        <family val="1"/>
      </rPr>
      <t xml:space="preserve">Регулярность движения автобусов, осуществляющих пассажирские перевозки </t>
    </r>
  </si>
  <si>
    <t>R=15 N=5</t>
  </si>
  <si>
    <t>Плановая эффективность</t>
  </si>
  <si>
    <t>Продолжить дальнейшую реализацию мероприятий программы</t>
  </si>
  <si>
    <t>R&gt;3xN  15=15</t>
  </si>
  <si>
    <t>R&gt;3xN  10&gt;9</t>
  </si>
  <si>
    <t>R&gt;3xN  21&gt;18</t>
  </si>
  <si>
    <t>Доля выпадающих в результате предоставления налоговых льгот доходов городского бюджета в общем объеме налоговых и неналоговых доходов</t>
  </si>
  <si>
    <t>не более 50,0</t>
  </si>
  <si>
    <t>1.Цель муниципальной программы: «Повышение эффективности деятельности публично – правовых образований по выполнению муниципальных функций»</t>
  </si>
  <si>
    <t>1.Задача муниципальной программы: «Обеспечение финансовой устойчивости бюджетной системы города Новозыбкова»</t>
  </si>
  <si>
    <t xml:space="preserve">2.Цель муниципальной программы: «Повышение эффективности деятельности публично – правовых образований по 
выполнению муниципальных функций» 
</t>
  </si>
  <si>
    <t>Соблюдение нормативов для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 муниципальных служащих</t>
  </si>
  <si>
    <t xml:space="preserve">3.Цель муниципальной программы: «Повышение эффективности деятельности публично – правовых образований по 
выполнению муниципальных функций» 
</t>
  </si>
  <si>
    <t>Доля муниципальных учреждений, для которых установлены количество измеримые финансовые санкции (штрафы, изъятия) за нарушение условий выполнения муниципальных заданий</t>
  </si>
  <si>
    <t>Доля информации о системе управления муниципальными финан-сами города Новозыбкова, размещаемой на сайте Финансового от-дела администрации города Новозыбкова в сети Интернет</t>
  </si>
  <si>
    <t>Подготовка «бюджета для граждан (открытого бюджета)»</t>
  </si>
  <si>
    <t>да /нет</t>
  </si>
  <si>
    <t>R=7  N=3</t>
  </si>
  <si>
    <t>3xN&gt;R&gt;=0,75x(3xN)  9&gt;7&gt;6,75</t>
  </si>
  <si>
    <t>Эффективность ниже плановой</t>
  </si>
  <si>
    <t>Реализация признается удовлетворительной</t>
  </si>
  <si>
    <t xml:space="preserve">Муниципальная программа «Управление муниципальными финансами города Новозыбкова» (2015 -2020 годы) </t>
  </si>
  <si>
    <t xml:space="preserve">1.Цель муниципальной программы: «Обеспечение долгосрочной сбалансированности и устойчивости бюджетной системы 
города Новозыбкова»
</t>
  </si>
  <si>
    <t>&lt;=5</t>
  </si>
  <si>
    <t>&lt;=55,0</t>
  </si>
  <si>
    <t>&lt;=3,0</t>
  </si>
  <si>
    <t xml:space="preserve">2.Цель муниципальной программы: «Обеспечение долгосрочной сбалансированности и устойчивости бюджетной системы
 города Новозыбкова»
</t>
  </si>
  <si>
    <t>1.Задача муниципальной программы: «Упорядочение структуры управления финансовыми ресурсами»</t>
  </si>
  <si>
    <t>1.Задача муниципальной программы: «Повышение функциональной эффективности бюджетных расходов»</t>
  </si>
  <si>
    <t xml:space="preserve">1.Задача муниципальной программы: «Реализация мероприятий, направленных на поэтапное сокращение расходов 
на обслуживание муниципального внутреннего долга города Новозыбкова»
</t>
  </si>
  <si>
    <t xml:space="preserve">1.Задача муниципальной программы: «Сбалансированное управление расходами городского бюджета, оптимизация
 выпадающих доходов»
</t>
  </si>
  <si>
    <t>3.Цель муниципальной программы: «Создание условий для оптимизации и повышения эффективности расходов городского бюджета»</t>
  </si>
  <si>
    <t>1.Задача муниципальной программы: «Повышение прозрачности бюджетной системы города Новозыбкова»</t>
  </si>
  <si>
    <t>&gt;=95,0</t>
  </si>
  <si>
    <t>R=8  N=3</t>
  </si>
  <si>
    <t>3xN&gt;R&gt;=0,75x(3xN)  9&gt;8&gt;6,75</t>
  </si>
  <si>
    <t xml:space="preserve">1. Цель муниципальной программы:
Получение населением    муниципального образования г. Новозыбков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экономики.
</t>
  </si>
  <si>
    <t xml:space="preserve">1. Задача муниципальной программы:
Модернизация и развитие инфраструктуры, ресурсного обеспечения системы образования;
достижение современного качества учебных результатов и результатов социализации.
</t>
  </si>
  <si>
    <t xml:space="preserve">                                                                1.Цель муниципальной программы:
Получение населением    муниципального образования г. Новозыбков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
</t>
  </si>
  <si>
    <t xml:space="preserve">2. Задача муниципальной программы:
Создание современной системы непрерывного образования, повышения квалификации и переподготовки профессиональных кадров; эффективное расходование бюджетных и внебюджетных средств и осуществление контроля за их целевым и рациональным использованием в учреждениях системы образования в соответствии с нормативными правовыми актами Российской Федерации, Брянской области,                                       г. Новозыбкова; совершенствование системы управления образованием на основе эффективного использования информационно-коммуникационных технологий в рамках единого образовательного пространства
</t>
  </si>
  <si>
    <t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</t>
  </si>
  <si>
    <t>чел</t>
  </si>
  <si>
    <t xml:space="preserve">Доля педагогических      работников:         
-повысивших уровень       профессионального        
мастерства;           
-прошедших аттестацию,
</t>
  </si>
  <si>
    <t>25             19</t>
  </si>
  <si>
    <t>29,4       31,0</t>
  </si>
  <si>
    <t>%              %</t>
  </si>
  <si>
    <t xml:space="preserve">Количество обучающихся в муниципальных       
образовательных          учреждениях на 1         
компьютер
</t>
  </si>
  <si>
    <t>R=6        N=2</t>
  </si>
  <si>
    <t xml:space="preserve">1. Цель муниципальной программы:
Государственная поддержка решения жилищной проблемы молодых семей, признанных в установленном порядке нуждающимися в улучшении жилищных условий
</t>
  </si>
  <si>
    <t xml:space="preserve">1. Задача муниципальной программы: 
 Предоставление молодым семьям-участникам программы социальных выплат на приобретение жилья экономкласса, строительство индивидуального жилья, погашение основной суммы долга и уплату процентов по жилищным кредитам. Создание условий для привлечения молодыми семьями собственных средств, дополнительных финансовых средств кредитных и других организаций, предоставляющих кредиты и займы, в том числе ипотечных жилищных кредитов для приобретения жилья или строительства индивидуального жилья
</t>
  </si>
  <si>
    <t>Количество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</t>
  </si>
  <si>
    <t>Доля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бюджетов, в общем количестве молодых семей, нуждающихся в улучшении жилищных условий</t>
  </si>
  <si>
    <t>Доля оплаченных свидетельств на приобретение жилья в общем количестве свидетельств на приобретение жилья, выданных молодым семьям</t>
  </si>
  <si>
    <t xml:space="preserve">R=0
N=1
</t>
  </si>
  <si>
    <t xml:space="preserve">R&lt;0,75 x(3xN)
0&lt;0,75 x(3x1)
</t>
  </si>
  <si>
    <t>Программа не эффектив-на</t>
  </si>
  <si>
    <t>При своевременном выделении денежных средств из областного и федерального бюджетов  на оплату сертификатов, можно продолжить реализацию программных мероприятий</t>
  </si>
  <si>
    <t xml:space="preserve">Муниципальная программа Управление муниципальным имуществом  города Новозыбкова на 2015-2020 годы»
</t>
  </si>
  <si>
    <t xml:space="preserve">1. Цель муниципальной программы:
Повышение эффективности управления и распоряжения муниципальным имуществом города Новозыбкова               </t>
  </si>
  <si>
    <t xml:space="preserve">                                                                                     1. Задача муниципальной программы:  
                Увеличение доходов бюджета на основе эффективного управления муниципальной собственностью
</t>
  </si>
  <si>
    <t>1. Задача муниципальной программы: сохранение и развитие творческого потенциала г. Новозыбкова.</t>
  </si>
  <si>
    <t>1.Цель муниципальной программы: сохранение и развитие творческого потенциала г. Новозыбкова.</t>
  </si>
  <si>
    <t xml:space="preserve">2.Цель муниципальной программы: повышение эффективности управления в сфере культуры, физической культуры и спорта.               </t>
  </si>
  <si>
    <t>1. Задача муниципальной программы: создание условий для занятий физической культурой и спортом. Повышение эффективности бюджетных расходов в сфере культуры и спорта.</t>
  </si>
  <si>
    <t>Доля подведомственных учреждений, выручка от оказания платных услуг физическим и юридическим лицам которых составляет более чем 25% в общей сумме доходов учреждения</t>
  </si>
  <si>
    <t>3.Цель муниципальной программы: обеспечение свободы творчества и прав граждан на участие в культурной жизни.</t>
  </si>
  <si>
    <t>1. Задача муниципальной программы: создание условий для преодоления  культурной изоляции и обогащения межрегионального и межнационального диалога</t>
  </si>
  <si>
    <t>3.Цель муниципальной программы: обеспечение свободы творчества и прав граждан на участие в культурной жизни</t>
  </si>
  <si>
    <t>Предоставление культурно - досуговых услуг</t>
  </si>
  <si>
    <t>Количество учреждений культуры, которым  оказана финансовая помощь  в укреплении материально-технической базы</t>
  </si>
  <si>
    <t>2.Задача муниципальной программы: создание условий  для расширения доступа различных категорий населения города к культурным ценностям</t>
  </si>
  <si>
    <t>Обновления фонда библиотек</t>
  </si>
  <si>
    <t>Доля библиотек, обеспеченных доступам к Интернету</t>
  </si>
  <si>
    <t>Количество учреждений культуры, которым оказана финансовая помощь  в укреплении материально-технической базы</t>
  </si>
  <si>
    <t xml:space="preserve">4.Цель муниципальной программы: обеспечение прав граждан на доступ к культурным ценностям.               </t>
  </si>
  <si>
    <t xml:space="preserve">            1. Задача муниципальной программы: сохранение и охрана культурного и исторического наследия г.Новозыбкова.</t>
  </si>
  <si>
    <t>Доля подведомственных учреждений, имеющих собственные сайты в сети Интернет</t>
  </si>
  <si>
    <t>R=15        N=5</t>
  </si>
  <si>
    <t>R=3xN  15=3x5  15=15</t>
  </si>
  <si>
    <t>тыс.руб</t>
  </si>
  <si>
    <t xml:space="preserve">                                                                                     2. Задача муниципальной программы: 
       Обеспечение функционирования системы учета муниципального имущества и контроль за его использованием                
</t>
  </si>
  <si>
    <t>Количество объектов недвижимого имущества, вовлеченных в хозяйственный оборот или сделку, в отношении которых проведены техническая инвентаризация и оценка рыночной стоимости, зарегистрировано право муниципальной собственности г.Новозыбкова за счет средств городского бюджета выделяемых комитету</t>
  </si>
  <si>
    <t xml:space="preserve">1. Цель муниципальной программы:
Повышение эффективности управления и распоряжения муниципальным имуществом города Новозыбкова             </t>
  </si>
  <si>
    <t>Динамика поступлений в городской бюджет от сдачи в аренду земельных участков по сравнению с предыдущим годом</t>
  </si>
  <si>
    <t xml:space="preserve">Поступление в городской бюджет неналоговых доходов, составляющих источники формирования муниципального дорожного фонда </t>
  </si>
  <si>
    <t>Доля муниципального имущества города Новозыбкова планируемого к приватизации, к общему количеству муниципального имущества города Новозыбков приватизация которого целесообразна</t>
  </si>
  <si>
    <t xml:space="preserve">Динамика поступлений в городской бюджет доходов от сдачи в аренду недвижимого имущества (за исключением земельных участков) по сравнению с предыдущим годом </t>
  </si>
  <si>
    <t xml:space="preserve">                                                                                     3. Задача муниципальной программы: 
Распоряжение земельными  участками, государственная собственность на которые не разграничена, находящиеся на территории города Новозыбкова.
Организация и координация работ по управлению и распоряжению земельными участками, находящимися в собственности города Новозыбкова     
</t>
  </si>
  <si>
    <t xml:space="preserve">R=4
N=3
</t>
  </si>
  <si>
    <t>R=3xN  6=3x2     6=6</t>
  </si>
  <si>
    <t>Реализация программы в данном виде признается нецелесообразной. Необходимо внести изменения в программные мероприятия и целевые индикаторы</t>
  </si>
  <si>
    <t xml:space="preserve">R&lt;0,75 x (3xN)            
4&lt;0,75x(3x3)         4&lt;9
</t>
  </si>
  <si>
    <r>
      <t xml:space="preserve">Сводный  отчет об итогах реализации и оценке эффективности муниципальных программ г.Новозыбкова Брянской области </t>
    </r>
    <r>
      <rPr>
        <b/>
        <i/>
        <sz val="18"/>
        <rFont val="Times New Roman"/>
        <family val="1"/>
      </rPr>
      <t>за 2015 год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</si>
</sst>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000000"/>
    <numFmt numFmtId="186" formatCode="0.00000000"/>
    <numFmt numFmtId="187" formatCode="0.0000E+00"/>
    <numFmt numFmtId="188" formatCode="0.000E+00"/>
    <numFmt numFmtId="189" formatCode="0.0E+00"/>
    <numFmt numFmtId="190" formatCode="0.00000E+00"/>
    <numFmt numFmtId="191" formatCode="0.000000E+00"/>
    <numFmt numFmtId="192" formatCode="0.0000000E+00"/>
    <numFmt numFmtId="193" formatCode="0.000000000"/>
    <numFmt numFmtId="194" formatCode="0.0000000000"/>
    <numFmt numFmtId="195" formatCode="0.00000000000"/>
    <numFmt numFmtId="196" formatCode="0E+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&quot;р.&quot;"/>
    <numFmt numFmtId="202" formatCode="#,##0.0"/>
    <numFmt numFmtId="203" formatCode="#,##0.00;[Red]#,##0.00"/>
    <numFmt numFmtId="204" formatCode="#,##0.000"/>
  </numFmts>
  <fonts count="11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6.75"/>
      <color indexed="8"/>
      <name val="Arial Cyr"/>
      <family val="0"/>
    </font>
    <font>
      <sz val="9.75"/>
      <color indexed="8"/>
      <name val="Arial Cyr"/>
      <family val="0"/>
    </font>
    <font>
      <sz val="12"/>
      <color indexed="8"/>
      <name val="Arial Cyr"/>
      <family val="0"/>
    </font>
    <font>
      <sz val="9.65"/>
      <color indexed="8"/>
      <name val="Arial Cyr"/>
      <family val="0"/>
    </font>
    <font>
      <sz val="18.25"/>
      <color indexed="8"/>
      <name val="Arial Cyr"/>
      <family val="0"/>
    </font>
    <font>
      <sz val="17.25"/>
      <color indexed="8"/>
      <name val="Arial Cyr"/>
      <family val="0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sz val="11"/>
      <color indexed="2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Arial Cyr"/>
      <family val="0"/>
    </font>
    <font>
      <sz val="14"/>
      <name val="Times New Roman"/>
      <family val="1"/>
    </font>
    <font>
      <sz val="10"/>
      <name val="Calibri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b/>
      <sz val="11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6"/>
      <color indexed="8"/>
      <name val="Arial Cyr"/>
      <family val="0"/>
    </font>
    <font>
      <sz val="10"/>
      <name val="Cambria"/>
      <family val="1"/>
    </font>
    <font>
      <b/>
      <i/>
      <sz val="18"/>
      <name val="Times New Roman"/>
      <family val="1"/>
    </font>
    <font>
      <b/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sz val="9.05"/>
      <color indexed="8"/>
      <name val="Times New Roman"/>
      <family val="0"/>
    </font>
    <font>
      <sz val="10.1"/>
      <color indexed="8"/>
      <name val="Times New Roman"/>
      <family val="0"/>
    </font>
    <font>
      <sz val="10.75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9.75"/>
      <color indexed="8"/>
      <name val="Times New Roman"/>
      <family val="0"/>
    </font>
    <font>
      <b/>
      <sz val="8.25"/>
      <color indexed="8"/>
      <name val="Times New Roman"/>
      <family val="0"/>
    </font>
    <font>
      <sz val="11"/>
      <color indexed="8"/>
      <name val="Times New Roman"/>
      <family val="0"/>
    </font>
    <font>
      <sz val="9.2"/>
      <color indexed="8"/>
      <name val="Times New Roman"/>
      <family val="0"/>
    </font>
    <font>
      <b/>
      <sz val="10.5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b/>
      <sz val="9.75"/>
      <color indexed="8"/>
      <name val="Times New Roman"/>
      <family val="0"/>
    </font>
    <font>
      <sz val="9.25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12.75"/>
      <color indexed="8"/>
      <name val="Times New Roman"/>
      <family val="0"/>
    </font>
    <font>
      <b/>
      <sz val="12.75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100" fillId="25" borderId="1" applyNumberFormat="0" applyAlignment="0" applyProtection="0"/>
    <xf numFmtId="0" fontId="101" fillId="26" borderId="2" applyNumberFormat="0" applyAlignment="0" applyProtection="0"/>
    <xf numFmtId="0" fontId="102" fillId="26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27" borderId="7" applyNumberFormat="0" applyAlignment="0" applyProtection="0"/>
    <xf numFmtId="0" fontId="108" fillId="0" borderId="0" applyNumberFormat="0" applyFill="0" applyBorder="0" applyAlignment="0" applyProtection="0"/>
    <xf numFmtId="0" fontId="109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1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4" fillId="31" borderId="0" applyNumberFormat="0" applyBorder="0" applyAlignment="0" applyProtection="0"/>
  </cellStyleXfs>
  <cellXfs count="7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32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1" fontId="0" fillId="0" borderId="10" xfId="0" applyNumberForma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17" xfId="0" applyFont="1" applyBorder="1" applyAlignment="1">
      <alignment horizontal="left" vertical="justify"/>
    </xf>
    <xf numFmtId="2" fontId="8" fillId="0" borderId="17" xfId="0" applyNumberFormat="1" applyFont="1" applyBorder="1" applyAlignment="1">
      <alignment horizontal="left" vertical="justify"/>
    </xf>
    <xf numFmtId="0" fontId="3" fillId="32" borderId="11" xfId="0" applyFont="1" applyFill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82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/>
    </xf>
    <xf numFmtId="182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182" fontId="0" fillId="0" borderId="11" xfId="0" applyNumberFormat="1" applyBorder="1" applyAlignment="1">
      <alignment/>
    </xf>
    <xf numFmtId="182" fontId="7" fillId="0" borderId="17" xfId="0" applyNumberFormat="1" applyFont="1" applyBorder="1" applyAlignment="1">
      <alignment/>
    </xf>
    <xf numFmtId="0" fontId="0" fillId="0" borderId="11" xfId="0" applyBorder="1" applyAlignment="1">
      <alignment horizontal="left" vertical="center" wrapText="1"/>
    </xf>
    <xf numFmtId="183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82" fontId="9" fillId="0" borderId="0" xfId="0" applyNumberFormat="1" applyFont="1" applyAlignment="1">
      <alignment horizontal="left" indent="2"/>
    </xf>
    <xf numFmtId="2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44" xfId="0" applyNumberFormat="1" applyFill="1" applyBorder="1" applyAlignment="1">
      <alignment/>
    </xf>
    <xf numFmtId="0" fontId="3" fillId="34" borderId="11" xfId="0" applyFont="1" applyFill="1" applyBorder="1" applyAlignment="1">
      <alignment horizontal="left" vertical="justify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left"/>
    </xf>
    <xf numFmtId="182" fontId="8" fillId="0" borderId="17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182" fontId="4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 applyAlignment="1">
      <alignment horizontal="center"/>
    </xf>
    <xf numFmtId="182" fontId="0" fillId="0" borderId="10" xfId="0" applyNumberFormat="1" applyFill="1" applyBorder="1" applyAlignment="1">
      <alignment/>
    </xf>
    <xf numFmtId="182" fontId="0" fillId="0" borderId="4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38" xfId="0" applyBorder="1" applyAlignment="1">
      <alignment horizontal="left" vertical="center"/>
    </xf>
    <xf numFmtId="181" fontId="0" fillId="0" borderId="46" xfId="0" applyNumberFormat="1" applyBorder="1" applyAlignment="1">
      <alignment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0" borderId="46" xfId="0" applyNumberFormat="1" applyBorder="1" applyAlignment="1">
      <alignment/>
    </xf>
    <xf numFmtId="0" fontId="10" fillId="0" borderId="38" xfId="0" applyFont="1" applyBorder="1" applyAlignment="1">
      <alignment horizontal="left" vertical="center"/>
    </xf>
    <xf numFmtId="2" fontId="10" fillId="0" borderId="4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12" fillId="0" borderId="38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48" xfId="0" applyFont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13" fillId="0" borderId="49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83" fontId="14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182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2" fontId="14" fillId="35" borderId="14" xfId="0" applyNumberFormat="1" applyFont="1" applyFill="1" applyBorder="1" applyAlignment="1">
      <alignment horizontal="left" vertical="center" wrapText="1"/>
    </xf>
    <xf numFmtId="182" fontId="14" fillId="35" borderId="14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183" fontId="15" fillId="0" borderId="0" xfId="0" applyNumberFormat="1" applyFont="1" applyAlignment="1">
      <alignment horizontal="left" vertical="center"/>
    </xf>
    <xf numFmtId="183" fontId="14" fillId="0" borderId="14" xfId="0" applyNumberFormat="1" applyFont="1" applyFill="1" applyBorder="1" applyAlignment="1">
      <alignment horizontal="left" vertical="center" wrapText="1"/>
    </xf>
    <xf numFmtId="183" fontId="14" fillId="35" borderId="14" xfId="0" applyNumberFormat="1" applyFont="1" applyFill="1" applyBorder="1" applyAlignment="1">
      <alignment horizontal="left" vertical="center" wrapText="1"/>
    </xf>
    <xf numFmtId="2" fontId="0" fillId="4" borderId="30" xfId="0" applyNumberFormat="1" applyFill="1" applyBorder="1" applyAlignment="1">
      <alignment/>
    </xf>
    <xf numFmtId="0" fontId="0" fillId="4" borderId="44" xfId="0" applyFill="1" applyBorder="1" applyAlignment="1">
      <alignment/>
    </xf>
    <xf numFmtId="182" fontId="3" fillId="0" borderId="14" xfId="0" applyNumberFormat="1" applyFont="1" applyFill="1" applyBorder="1" applyAlignment="1">
      <alignment horizontal="left"/>
    </xf>
    <xf numFmtId="2" fontId="9" fillId="0" borderId="44" xfId="0" applyNumberFormat="1" applyFont="1" applyBorder="1" applyAlignment="1">
      <alignment/>
    </xf>
    <xf numFmtId="0" fontId="9" fillId="0" borderId="10" xfId="0" applyFont="1" applyBorder="1" applyAlignment="1">
      <alignment/>
    </xf>
    <xf numFmtId="182" fontId="9" fillId="0" borderId="10" xfId="0" applyNumberFormat="1" applyFont="1" applyBorder="1" applyAlignment="1">
      <alignment horizontal="left" indent="2"/>
    </xf>
    <xf numFmtId="2" fontId="0" fillId="0" borderId="10" xfId="0" applyNumberFormat="1" applyFont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0" fontId="2" fillId="0" borderId="32" xfId="0" applyFont="1" applyBorder="1" applyAlignment="1">
      <alignment horizontal="left" vertical="top" wrapText="1"/>
    </xf>
    <xf numFmtId="2" fontId="0" fillId="4" borderId="46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4" borderId="43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182" fontId="0" fillId="4" borderId="35" xfId="0" applyNumberFormat="1" applyFill="1" applyBorder="1" applyAlignment="1">
      <alignment/>
    </xf>
    <xf numFmtId="182" fontId="3" fillId="0" borderId="14" xfId="0" applyNumberFormat="1" applyFont="1" applyBorder="1" applyAlignment="1">
      <alignment horizontal="left"/>
    </xf>
    <xf numFmtId="183" fontId="3" fillId="0" borderId="14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1" fontId="14" fillId="35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182" fontId="14" fillId="0" borderId="14" xfId="0" applyNumberFormat="1" applyFont="1" applyFill="1" applyBorder="1" applyAlignment="1">
      <alignment horizontal="left" vertical="center" wrapText="1"/>
    </xf>
    <xf numFmtId="181" fontId="14" fillId="0" borderId="14" xfId="0" applyNumberFormat="1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81" fontId="14" fillId="35" borderId="14" xfId="0" applyNumberFormat="1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left" vertical="center"/>
    </xf>
    <xf numFmtId="2" fontId="9" fillId="0" borderId="47" xfId="0" applyNumberFormat="1" applyFont="1" applyBorder="1" applyAlignment="1">
      <alignment/>
    </xf>
    <xf numFmtId="182" fontId="7" fillId="0" borderId="4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57" xfId="0" applyNumberFormat="1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82" fontId="14" fillId="0" borderId="16" xfId="0" applyNumberFormat="1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82" fontId="14" fillId="0" borderId="15" xfId="0" applyNumberFormat="1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182" fontId="14" fillId="0" borderId="13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37" borderId="0" xfId="0" applyFont="1" applyFill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/>
    </xf>
    <xf numFmtId="0" fontId="2" fillId="36" borderId="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182" fontId="0" fillId="4" borderId="61" xfId="0" applyNumberForma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top" wrapText="1"/>
    </xf>
    <xf numFmtId="182" fontId="7" fillId="0" borderId="41" xfId="0" applyNumberFormat="1" applyFont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182" fontId="7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left" vertical="top" wrapText="1"/>
    </xf>
    <xf numFmtId="182" fontId="7" fillId="4" borderId="11" xfId="0" applyNumberFormat="1" applyFont="1" applyFill="1" applyBorder="1" applyAlignment="1">
      <alignment/>
    </xf>
    <xf numFmtId="2" fontId="12" fillId="0" borderId="46" xfId="0" applyNumberFormat="1" applyFont="1" applyBorder="1" applyAlignment="1">
      <alignment/>
    </xf>
    <xf numFmtId="2" fontId="0" fillId="4" borderId="31" xfId="0" applyNumberFormat="1" applyFill="1" applyBorder="1" applyAlignment="1">
      <alignment/>
    </xf>
    <xf numFmtId="0" fontId="0" fillId="0" borderId="4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183" fontId="0" fillId="4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58" xfId="0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6" fillId="3" borderId="6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32" borderId="44" xfId="0" applyFill="1" applyBorder="1" applyAlignment="1">
      <alignment/>
    </xf>
    <xf numFmtId="182" fontId="6" fillId="32" borderId="44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0" xfId="0" applyFont="1" applyFill="1" applyBorder="1" applyAlignment="1">
      <alignment/>
    </xf>
    <xf numFmtId="183" fontId="0" fillId="0" borderId="18" xfId="0" applyNumberFormat="1" applyBorder="1" applyAlignment="1">
      <alignment/>
    </xf>
    <xf numFmtId="0" fontId="32" fillId="0" borderId="38" xfId="0" applyFont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182" fontId="0" fillId="4" borderId="41" xfId="0" applyNumberFormat="1" applyFill="1" applyBorder="1" applyAlignment="1">
      <alignment/>
    </xf>
    <xf numFmtId="0" fontId="7" fillId="0" borderId="64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182" fontId="0" fillId="0" borderId="17" xfId="0" applyNumberFormat="1" applyFill="1" applyBorder="1" applyAlignment="1">
      <alignment/>
    </xf>
    <xf numFmtId="182" fontId="0" fillId="0" borderId="43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10" fillId="3" borderId="10" xfId="0" applyFont="1" applyFill="1" applyBorder="1" applyAlignment="1">
      <alignment/>
    </xf>
    <xf numFmtId="182" fontId="10" fillId="3" borderId="35" xfId="0" applyNumberFormat="1" applyFont="1" applyFill="1" applyBorder="1" applyAlignment="1">
      <alignment/>
    </xf>
    <xf numFmtId="182" fontId="7" fillId="3" borderId="35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0" fillId="36" borderId="25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6" fillId="36" borderId="25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6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6" borderId="25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/>
    </xf>
    <xf numFmtId="183" fontId="7" fillId="0" borderId="11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0" fontId="0" fillId="32" borderId="0" xfId="0" applyFill="1" applyAlignment="1">
      <alignment/>
    </xf>
    <xf numFmtId="0" fontId="0" fillId="38" borderId="11" xfId="0" applyFill="1" applyBorder="1" applyAlignment="1">
      <alignment/>
    </xf>
    <xf numFmtId="2" fontId="0" fillId="38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2" fontId="0" fillId="39" borderId="11" xfId="0" applyNumberFormat="1" applyFill="1" applyBorder="1" applyAlignment="1">
      <alignment/>
    </xf>
    <xf numFmtId="182" fontId="10" fillId="39" borderId="35" xfId="0" applyNumberFormat="1" applyFont="1" applyFill="1" applyBorder="1" applyAlignment="1">
      <alignment/>
    </xf>
    <xf numFmtId="0" fontId="0" fillId="39" borderId="42" xfId="0" applyFill="1" applyBorder="1" applyAlignment="1">
      <alignment horizontal="left" vertical="center" wrapText="1"/>
    </xf>
    <xf numFmtId="182" fontId="0" fillId="3" borderId="11" xfId="0" applyNumberFormat="1" applyFill="1" applyBorder="1" applyAlignment="1">
      <alignment/>
    </xf>
    <xf numFmtId="182" fontId="0" fillId="0" borderId="1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14" fillId="0" borderId="0" xfId="0" applyFont="1" applyBorder="1" applyAlignment="1">
      <alignment/>
    </xf>
    <xf numFmtId="0" fontId="3" fillId="32" borderId="14" xfId="0" applyFont="1" applyFill="1" applyBorder="1" applyAlignment="1">
      <alignment horizontal="left"/>
    </xf>
    <xf numFmtId="2" fontId="0" fillId="0" borderId="35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42" xfId="0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36" xfId="0" applyFill="1" applyBorder="1" applyAlignment="1">
      <alignment/>
    </xf>
    <xf numFmtId="2" fontId="0" fillId="38" borderId="36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181" fontId="10" fillId="38" borderId="36" xfId="0" applyNumberFormat="1" applyFont="1" applyFill="1" applyBorder="1" applyAlignment="1">
      <alignment/>
    </xf>
    <xf numFmtId="181" fontId="10" fillId="38" borderId="57" xfId="0" applyNumberFormat="1" applyFont="1" applyFill="1" applyBorder="1" applyAlignment="1">
      <alignment/>
    </xf>
    <xf numFmtId="0" fontId="0" fillId="0" borderId="53" xfId="0" applyBorder="1" applyAlignment="1">
      <alignment/>
    </xf>
    <xf numFmtId="182" fontId="0" fillId="38" borderId="36" xfId="0" applyNumberFormat="1" applyFill="1" applyBorder="1" applyAlignment="1">
      <alignment/>
    </xf>
    <xf numFmtId="182" fontId="0" fillId="38" borderId="57" xfId="0" applyNumberFormat="1" applyFill="1" applyBorder="1" applyAlignment="1">
      <alignment/>
    </xf>
    <xf numFmtId="0" fontId="0" fillId="38" borderId="0" xfId="0" applyFill="1" applyAlignment="1">
      <alignment/>
    </xf>
    <xf numFmtId="2" fontId="12" fillId="0" borderId="47" xfId="0" applyNumberFormat="1" applyFont="1" applyFill="1" applyBorder="1" applyAlignment="1">
      <alignment/>
    </xf>
    <xf numFmtId="182" fontId="9" fillId="0" borderId="0" xfId="0" applyNumberFormat="1" applyFont="1" applyBorder="1" applyAlignment="1">
      <alignment/>
    </xf>
    <xf numFmtId="0" fontId="0" fillId="0" borderId="67" xfId="0" applyBorder="1" applyAlignment="1">
      <alignment horizontal="left" vertical="center"/>
    </xf>
    <xf numFmtId="182" fontId="9" fillId="0" borderId="53" xfId="0" applyNumberFormat="1" applyFont="1" applyBorder="1" applyAlignment="1">
      <alignment/>
    </xf>
    <xf numFmtId="182" fontId="9" fillId="0" borderId="54" xfId="0" applyNumberFormat="1" applyFont="1" applyBorder="1" applyAlignment="1">
      <alignment/>
    </xf>
    <xf numFmtId="182" fontId="9" fillId="0" borderId="10" xfId="0" applyNumberFormat="1" applyFont="1" applyBorder="1" applyAlignment="1">
      <alignment/>
    </xf>
    <xf numFmtId="0" fontId="0" fillId="36" borderId="11" xfId="0" applyFont="1" applyFill="1" applyBorder="1" applyAlignment="1">
      <alignment horizontal="left" vertical="center" wrapText="1"/>
    </xf>
    <xf numFmtId="181" fontId="0" fillId="0" borderId="35" xfId="0" applyNumberFormat="1" applyBorder="1" applyAlignment="1">
      <alignment/>
    </xf>
    <xf numFmtId="181" fontId="0" fillId="0" borderId="41" xfId="0" applyNumberForma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0" fillId="39" borderId="40" xfId="0" applyFill="1" applyBorder="1" applyAlignment="1">
      <alignment horizontal="left" vertical="center"/>
    </xf>
    <xf numFmtId="0" fontId="0" fillId="39" borderId="35" xfId="0" applyFill="1" applyBorder="1" applyAlignment="1">
      <alignment/>
    </xf>
    <xf numFmtId="0" fontId="0" fillId="39" borderId="10" xfId="0" applyFill="1" applyBorder="1" applyAlignment="1">
      <alignment/>
    </xf>
    <xf numFmtId="181" fontId="0" fillId="39" borderId="10" xfId="0" applyNumberFormat="1" applyFill="1" applyBorder="1" applyAlignment="1">
      <alignment/>
    </xf>
    <xf numFmtId="0" fontId="0" fillId="39" borderId="38" xfId="0" applyFill="1" applyBorder="1" applyAlignment="1">
      <alignment horizontal="left" vertical="center"/>
    </xf>
    <xf numFmtId="0" fontId="0" fillId="39" borderId="46" xfId="0" applyFill="1" applyBorder="1" applyAlignment="1">
      <alignment/>
    </xf>
    <xf numFmtId="0" fontId="11" fillId="39" borderId="67" xfId="0" applyFont="1" applyFill="1" applyBorder="1" applyAlignment="1">
      <alignment horizontal="left" vertical="center" wrapText="1"/>
    </xf>
    <xf numFmtId="0" fontId="11" fillId="39" borderId="53" xfId="0" applyFont="1" applyFill="1" applyBorder="1" applyAlignment="1">
      <alignment/>
    </xf>
    <xf numFmtId="0" fontId="0" fillId="39" borderId="53" xfId="0" applyFill="1" applyBorder="1" applyAlignment="1">
      <alignment/>
    </xf>
    <xf numFmtId="2" fontId="11" fillId="39" borderId="53" xfId="0" applyNumberFormat="1" applyFont="1" applyFill="1" applyBorder="1" applyAlignment="1">
      <alignment/>
    </xf>
    <xf numFmtId="2" fontId="11" fillId="39" borderId="54" xfId="0" applyNumberFormat="1" applyFont="1" applyFill="1" applyBorder="1" applyAlignment="1">
      <alignment/>
    </xf>
    <xf numFmtId="0" fontId="3" fillId="0" borderId="18" xfId="0" applyFont="1" applyBorder="1" applyAlignment="1">
      <alignment horizontal="left" vertical="justify"/>
    </xf>
    <xf numFmtId="0" fontId="2" fillId="0" borderId="45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/>
    </xf>
    <xf numFmtId="182" fontId="8" fillId="0" borderId="36" xfId="0" applyNumberFormat="1" applyFont="1" applyBorder="1" applyAlignment="1">
      <alignment horizontal="center"/>
    </xf>
    <xf numFmtId="182" fontId="8" fillId="0" borderId="57" xfId="0" applyNumberFormat="1" applyFont="1" applyBorder="1" applyAlignment="1">
      <alignment horizontal="center"/>
    </xf>
    <xf numFmtId="182" fontId="7" fillId="40" borderId="10" xfId="0" applyNumberFormat="1" applyFont="1" applyFill="1" applyBorder="1" applyAlignment="1">
      <alignment/>
    </xf>
    <xf numFmtId="0" fontId="0" fillId="40" borderId="11" xfId="0" applyFill="1" applyBorder="1" applyAlignment="1">
      <alignment/>
    </xf>
    <xf numFmtId="182" fontId="0" fillId="40" borderId="11" xfId="0" applyNumberFormat="1" applyFill="1" applyBorder="1" applyAlignment="1">
      <alignment/>
    </xf>
    <xf numFmtId="182" fontId="6" fillId="40" borderId="10" xfId="0" applyNumberFormat="1" applyFont="1" applyFill="1" applyBorder="1" applyAlignment="1">
      <alignment/>
    </xf>
    <xf numFmtId="2" fontId="0" fillId="38" borderId="0" xfId="0" applyNumberFormat="1" applyFill="1" applyAlignment="1">
      <alignment/>
    </xf>
    <xf numFmtId="0" fontId="23" fillId="0" borderId="3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46" xfId="0" applyFont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14" fillId="0" borderId="59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41" fillId="0" borderId="14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/>
    </xf>
    <xf numFmtId="0" fontId="14" fillId="32" borderId="58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43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wrapText="1"/>
    </xf>
    <xf numFmtId="0" fontId="23" fillId="0" borderId="3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43" xfId="0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3" fillId="32" borderId="0" xfId="0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38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32" borderId="70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" fillId="41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83" fontId="2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 wrapText="1"/>
    </xf>
    <xf numFmtId="183" fontId="2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3" fillId="38" borderId="0" xfId="0" applyNumberFormat="1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83" fontId="0" fillId="0" borderId="10" xfId="0" applyNumberFormat="1" applyFill="1" applyBorder="1" applyAlignment="1">
      <alignment/>
    </xf>
    <xf numFmtId="183" fontId="3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14" fillId="37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14" fillId="37" borderId="61" xfId="0" applyFont="1" applyFill="1" applyBorder="1" applyAlignment="1">
      <alignment vertical="center"/>
    </xf>
    <xf numFmtId="0" fontId="14" fillId="37" borderId="71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23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right" vertical="top" wrapText="1"/>
    </xf>
    <xf numFmtId="0" fontId="15" fillId="42" borderId="10" xfId="0" applyFont="1" applyFill="1" applyBorder="1" applyAlignment="1">
      <alignment vertical="center"/>
    </xf>
    <xf numFmtId="0" fontId="70" fillId="42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left" vertical="center"/>
    </xf>
    <xf numFmtId="0" fontId="37" fillId="4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left" vertical="center"/>
    </xf>
    <xf numFmtId="0" fontId="16" fillId="42" borderId="10" xfId="0" applyFont="1" applyFill="1" applyBorder="1" applyAlignment="1">
      <alignment horizontal="center" vertical="center" wrapText="1"/>
    </xf>
    <xf numFmtId="0" fontId="69" fillId="4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left" vertical="center" wrapText="1"/>
    </xf>
    <xf numFmtId="0" fontId="14" fillId="42" borderId="72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3" fillId="42" borderId="0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1" fillId="0" borderId="73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3" borderId="58" xfId="0" applyFill="1" applyBorder="1" applyAlignment="1">
      <alignment horizontal="center" vertical="center" wrapText="1"/>
    </xf>
    <xf numFmtId="0" fontId="0" fillId="43" borderId="59" xfId="0" applyFill="1" applyBorder="1" applyAlignment="1">
      <alignment horizontal="center" vertical="center" wrapText="1"/>
    </xf>
    <xf numFmtId="0" fontId="0" fillId="43" borderId="13" xfId="0" applyFill="1" applyBorder="1" applyAlignment="1">
      <alignment horizontal="center" vertical="center" wrapText="1"/>
    </xf>
    <xf numFmtId="0" fontId="6" fillId="0" borderId="73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6" fillId="0" borderId="5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4" fillId="0" borderId="5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23" fillId="0" borderId="72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39" fillId="0" borderId="58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wrapText="1"/>
    </xf>
    <xf numFmtId="0" fontId="40" fillId="0" borderId="58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23" fillId="0" borderId="44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6" fillId="0" borderId="75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4" fontId="14" fillId="42" borderId="10" xfId="0" applyNumberFormat="1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left" vertical="center"/>
    </xf>
    <xf numFmtId="0" fontId="24" fillId="42" borderId="35" xfId="0" applyFont="1" applyFill="1" applyBorder="1" applyAlignment="1">
      <alignment horizontal="center" vertical="center" wrapText="1"/>
    </xf>
    <xf numFmtId="0" fontId="14" fillId="42" borderId="72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center" vertical="top" wrapText="1"/>
    </xf>
    <xf numFmtId="0" fontId="24" fillId="42" borderId="35" xfId="0" applyFont="1" applyFill="1" applyBorder="1" applyAlignment="1">
      <alignment horizontal="center" vertical="top" wrapText="1"/>
    </xf>
    <xf numFmtId="0" fontId="24" fillId="42" borderId="11" xfId="0" applyFont="1" applyFill="1" applyBorder="1" applyAlignment="1">
      <alignment horizontal="center" vertical="center" wrapText="1"/>
    </xf>
    <xf numFmtId="0" fontId="24" fillId="42" borderId="11" xfId="0" applyFont="1" applyFill="1" applyBorder="1" applyAlignment="1">
      <alignment horizontal="center" vertical="top" wrapText="1"/>
    </xf>
    <xf numFmtId="0" fontId="16" fillId="42" borderId="77" xfId="0" applyFont="1" applyFill="1" applyBorder="1" applyAlignment="1">
      <alignment horizontal="center" vertical="center" wrapText="1"/>
    </xf>
    <xf numFmtId="0" fontId="37" fillId="42" borderId="47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 wrapText="1"/>
    </xf>
    <xf numFmtId="0" fontId="24" fillId="42" borderId="72" xfId="0" applyFont="1" applyFill="1" applyBorder="1" applyAlignment="1">
      <alignment horizontal="center" vertical="center" wrapText="1"/>
    </xf>
    <xf numFmtId="0" fontId="24" fillId="42" borderId="74" xfId="0" applyFont="1" applyFill="1" applyBorder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center" wrapText="1"/>
    </xf>
    <xf numFmtId="0" fontId="23" fillId="42" borderId="72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vertical="top" wrapText="1" indent="2"/>
    </xf>
    <xf numFmtId="0" fontId="2" fillId="42" borderId="10" xfId="0" applyFont="1" applyFill="1" applyBorder="1" applyAlignment="1">
      <alignment vertical="top" wrapText="1"/>
    </xf>
    <xf numFmtId="0" fontId="2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center" vertical="center" wrapText="1"/>
    </xf>
    <xf numFmtId="0" fontId="47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center" vertical="top" wrapText="1"/>
    </xf>
    <xf numFmtId="0" fontId="24" fillId="42" borderId="61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center" wrapText="1"/>
    </xf>
    <xf numFmtId="0" fontId="24" fillId="42" borderId="34" xfId="0" applyFont="1" applyFill="1" applyBorder="1" applyAlignment="1">
      <alignment horizontal="center" vertical="center" wrapText="1"/>
    </xf>
    <xf numFmtId="0" fontId="24" fillId="42" borderId="47" xfId="0" applyFont="1" applyFill="1" applyBorder="1" applyAlignment="1">
      <alignment horizontal="center" vertical="center" wrapText="1"/>
    </xf>
    <xf numFmtId="0" fontId="24" fillId="42" borderId="0" xfId="0" applyFont="1" applyFill="1" applyBorder="1" applyAlignment="1">
      <alignment horizontal="center" vertical="center" wrapText="1"/>
    </xf>
    <xf numFmtId="0" fontId="24" fillId="42" borderId="56" xfId="0" applyFont="1" applyFill="1" applyBorder="1" applyAlignment="1">
      <alignment horizontal="center" vertical="center" wrapText="1"/>
    </xf>
    <xf numFmtId="0" fontId="24" fillId="42" borderId="77" xfId="0" applyFont="1" applyFill="1" applyBorder="1" applyAlignment="1">
      <alignment horizontal="center" vertical="center" wrapText="1"/>
    </xf>
    <xf numFmtId="0" fontId="24" fillId="42" borderId="66" xfId="0" applyFont="1" applyFill="1" applyBorder="1" applyAlignment="1">
      <alignment horizontal="center" vertical="center" wrapText="1"/>
    </xf>
    <xf numFmtId="0" fontId="24" fillId="42" borderId="25" xfId="0" applyFont="1" applyFill="1" applyBorder="1" applyAlignment="1">
      <alignment horizontal="center" vertical="center" wrapText="1"/>
    </xf>
    <xf numFmtId="0" fontId="23" fillId="42" borderId="72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justify" vertical="top" wrapText="1"/>
    </xf>
    <xf numFmtId="0" fontId="2" fillId="42" borderId="10" xfId="0" applyFont="1" applyFill="1" applyBorder="1" applyAlignment="1">
      <alignment horizontal="center" vertical="center" wrapText="1"/>
    </xf>
    <xf numFmtId="0" fontId="23" fillId="42" borderId="35" xfId="0" applyFont="1" applyFill="1" applyBorder="1" applyAlignment="1">
      <alignment horizontal="center" vertical="center" wrapText="1"/>
    </xf>
    <xf numFmtId="0" fontId="2" fillId="42" borderId="35" xfId="0" applyFont="1" applyFill="1" applyBorder="1" applyAlignment="1">
      <alignment horizontal="center" wrapText="1"/>
    </xf>
    <xf numFmtId="0" fontId="14" fillId="42" borderId="35" xfId="0" applyFont="1" applyFill="1" applyBorder="1" applyAlignment="1">
      <alignment horizontal="center" vertical="center"/>
    </xf>
    <xf numFmtId="0" fontId="23" fillId="42" borderId="44" xfId="0" applyFont="1" applyFill="1" applyBorder="1" applyAlignment="1">
      <alignment horizontal="center" vertical="center" wrapText="1"/>
    </xf>
    <xf numFmtId="0" fontId="2" fillId="42" borderId="35" xfId="0" applyFont="1" applyFill="1" applyBorder="1" applyAlignment="1">
      <alignment horizontal="justify" vertical="top" wrapText="1"/>
    </xf>
    <xf numFmtId="0" fontId="2" fillId="42" borderId="35" xfId="0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center" wrapText="1"/>
    </xf>
    <xf numFmtId="0" fontId="23" fillId="42" borderId="11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left" vertical="center"/>
    </xf>
    <xf numFmtId="0" fontId="14" fillId="42" borderId="11" xfId="0" applyFont="1" applyFill="1" applyBorder="1" applyAlignment="1">
      <alignment horizontal="center" vertical="center"/>
    </xf>
    <xf numFmtId="0" fontId="23" fillId="42" borderId="44" xfId="0" applyFont="1" applyFill="1" applyBorder="1" applyAlignment="1">
      <alignment horizontal="center" vertical="center" wrapText="1"/>
    </xf>
    <xf numFmtId="0" fontId="2" fillId="42" borderId="35" xfId="0" applyFont="1" applyFill="1" applyBorder="1" applyAlignment="1">
      <alignment horizontal="center" vertical="center" wrapText="1"/>
    </xf>
    <xf numFmtId="0" fontId="1" fillId="42" borderId="44" xfId="0" applyFont="1" applyFill="1" applyBorder="1" applyAlignment="1">
      <alignment horizontal="center" wrapText="1"/>
    </xf>
    <xf numFmtId="0" fontId="1" fillId="42" borderId="44" xfId="0" applyFont="1" applyFill="1" applyBorder="1" applyAlignment="1">
      <alignment horizontal="center" vertical="center" wrapText="1"/>
    </xf>
    <xf numFmtId="0" fontId="14" fillId="42" borderId="44" xfId="0" applyFont="1" applyFill="1" applyBorder="1" applyAlignment="1">
      <alignment horizontal="center" vertical="center"/>
    </xf>
    <xf numFmtId="0" fontId="23" fillId="42" borderId="35" xfId="0" applyFont="1" applyFill="1" applyBorder="1" applyAlignment="1">
      <alignment vertical="center" wrapText="1"/>
    </xf>
    <xf numFmtId="0" fontId="2" fillId="42" borderId="35" xfId="0" applyFont="1" applyFill="1" applyBorder="1" applyAlignment="1">
      <alignment wrapText="1"/>
    </xf>
    <xf numFmtId="0" fontId="1" fillId="42" borderId="35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vertical="center"/>
    </xf>
    <xf numFmtId="0" fontId="23" fillId="42" borderId="11" xfId="0" applyFont="1" applyFill="1" applyBorder="1" applyAlignment="1">
      <alignment vertical="center" wrapText="1"/>
    </xf>
    <xf numFmtId="0" fontId="2" fillId="42" borderId="11" xfId="0" applyFont="1" applyFill="1" applyBorder="1" applyAlignment="1">
      <alignment vertical="top" wrapText="1"/>
    </xf>
    <xf numFmtId="0" fontId="2" fillId="42" borderId="11" xfId="0" applyFont="1" applyFill="1" applyBorder="1" applyAlignment="1">
      <alignment wrapText="1"/>
    </xf>
    <xf numFmtId="0" fontId="2" fillId="42" borderId="44" xfId="0" applyFont="1" applyFill="1" applyBorder="1" applyAlignment="1">
      <alignment horizontal="center" wrapText="1"/>
    </xf>
    <xf numFmtId="0" fontId="14" fillId="42" borderId="11" xfId="0" applyFont="1" applyFill="1" applyBorder="1" applyAlignment="1">
      <alignment vertical="center"/>
    </xf>
    <xf numFmtId="0" fontId="14" fillId="42" borderId="71" xfId="0" applyFont="1" applyFill="1" applyBorder="1" applyAlignment="1">
      <alignment vertical="center"/>
    </xf>
    <xf numFmtId="0" fontId="14" fillId="42" borderId="34" xfId="0" applyFont="1" applyFill="1" applyBorder="1" applyAlignment="1">
      <alignment vertical="center"/>
    </xf>
    <xf numFmtId="0" fontId="2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183" fontId="14" fillId="42" borderId="11" xfId="0" applyNumberFormat="1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left" vertical="center"/>
    </xf>
    <xf numFmtId="0" fontId="14" fillId="42" borderId="44" xfId="0" applyFont="1" applyFill="1" applyBorder="1" applyAlignment="1">
      <alignment horizontal="center" vertical="center"/>
    </xf>
    <xf numFmtId="183" fontId="14" fillId="42" borderId="10" xfId="0" applyNumberFormat="1" applyFont="1" applyFill="1" applyBorder="1" applyAlignment="1">
      <alignment horizontal="center" vertical="center"/>
    </xf>
    <xf numFmtId="183" fontId="14" fillId="42" borderId="35" xfId="0" applyNumberFormat="1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left" vertical="center"/>
    </xf>
    <xf numFmtId="0" fontId="16" fillId="42" borderId="35" xfId="0" applyFont="1" applyFill="1" applyBorder="1" applyAlignment="1">
      <alignment horizontal="center" vertical="center" wrapText="1"/>
    </xf>
    <xf numFmtId="0" fontId="69" fillId="42" borderId="35" xfId="0" applyFont="1" applyFill="1" applyBorder="1" applyAlignment="1">
      <alignment horizontal="center" vertical="center" wrapText="1"/>
    </xf>
    <xf numFmtId="0" fontId="37" fillId="42" borderId="71" xfId="0" applyFont="1" applyFill="1" applyBorder="1" applyAlignment="1">
      <alignment horizontal="center" vertical="center" wrapText="1"/>
    </xf>
    <xf numFmtId="0" fontId="46" fillId="42" borderId="71" xfId="0" applyFont="1" applyFill="1" applyBorder="1" applyAlignment="1">
      <alignment horizontal="center" vertical="center" wrapText="1"/>
    </xf>
    <xf numFmtId="0" fontId="49" fillId="42" borderId="35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 wrapText="1"/>
    </xf>
    <xf numFmtId="0" fontId="23" fillId="42" borderId="72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left" vertical="top" wrapText="1" indent="1"/>
    </xf>
    <xf numFmtId="0" fontId="14" fillId="42" borderId="12" xfId="0" applyFont="1" applyFill="1" applyBorder="1" applyAlignment="1">
      <alignment horizontal="center" vertical="center" wrapText="1"/>
    </xf>
    <xf numFmtId="0" fontId="24" fillId="42" borderId="72" xfId="0" applyFont="1" applyFill="1" applyBorder="1" applyAlignment="1">
      <alignment horizontal="center" vertical="top" wrapText="1"/>
    </xf>
    <xf numFmtId="0" fontId="24" fillId="42" borderId="74" xfId="0" applyFont="1" applyFill="1" applyBorder="1" applyAlignment="1">
      <alignment horizontal="center" vertical="top" wrapText="1"/>
    </xf>
    <xf numFmtId="0" fontId="24" fillId="42" borderId="12" xfId="0" applyFont="1" applyFill="1" applyBorder="1" applyAlignment="1">
      <alignment horizontal="center" vertical="top" wrapText="1"/>
    </xf>
    <xf numFmtId="0" fontId="24" fillId="42" borderId="71" xfId="0" applyFont="1" applyFill="1" applyBorder="1" applyAlignment="1">
      <alignment horizontal="center" vertical="top" wrapText="1"/>
    </xf>
    <xf numFmtId="0" fontId="71" fillId="42" borderId="0" xfId="0" applyFont="1" applyFill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top" wrapText="1"/>
    </xf>
    <xf numFmtId="0" fontId="24" fillId="42" borderId="10" xfId="0" applyFont="1" applyFill="1" applyBorder="1" applyAlignment="1">
      <alignment horizontal="center" vertical="top" wrapText="1"/>
    </xf>
    <xf numFmtId="0" fontId="2" fillId="42" borderId="72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center" wrapText="1"/>
    </xf>
    <xf numFmtId="0" fontId="14" fillId="42" borderId="0" xfId="0" applyFont="1" applyFill="1" applyAlignment="1">
      <alignment horizontal="center" vertical="center" wrapText="1"/>
    </xf>
    <xf numFmtId="0" fontId="51" fillId="42" borderId="0" xfId="0" applyFont="1" applyFill="1" applyAlignment="1">
      <alignment horizontal="justify"/>
    </xf>
    <xf numFmtId="0" fontId="23" fillId="42" borderId="74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74" xfId="0" applyFont="1" applyFill="1" applyBorder="1" applyAlignment="1">
      <alignment horizontal="center" vertical="center"/>
    </xf>
    <xf numFmtId="0" fontId="24" fillId="42" borderId="12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center" wrapText="1"/>
    </xf>
    <xf numFmtId="0" fontId="37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vertical="center" wrapText="1"/>
    </xf>
    <xf numFmtId="0" fontId="2" fillId="42" borderId="10" xfId="0" applyFont="1" applyFill="1" applyBorder="1" applyAlignment="1">
      <alignment vertical="center" wrapText="1"/>
    </xf>
    <xf numFmtId="0" fontId="23" fillId="42" borderId="72" xfId="0" applyFont="1" applyFill="1" applyBorder="1" applyAlignment="1">
      <alignment horizontal="left" vertical="center"/>
    </xf>
    <xf numFmtId="0" fontId="24" fillId="42" borderId="72" xfId="0" applyFont="1" applyFill="1" applyBorder="1" applyAlignment="1">
      <alignment horizontal="center" vertical="center"/>
    </xf>
    <xf numFmtId="0" fontId="24" fillId="42" borderId="35" xfId="0" applyFont="1" applyFill="1" applyBorder="1" applyAlignment="1">
      <alignment horizontal="center" vertical="top" wrapText="1"/>
    </xf>
    <xf numFmtId="0" fontId="23" fillId="42" borderId="10" xfId="0" applyFont="1" applyFill="1" applyBorder="1" applyAlignment="1">
      <alignment horizontal="center" vertical="top" wrapText="1"/>
    </xf>
    <xf numFmtId="0" fontId="14" fillId="42" borderId="10" xfId="0" applyFont="1" applyFill="1" applyBorder="1" applyAlignment="1">
      <alignment/>
    </xf>
    <xf numFmtId="0" fontId="23" fillId="42" borderId="72" xfId="0" applyFont="1" applyFill="1" applyBorder="1" applyAlignment="1">
      <alignment horizontal="center" vertical="center"/>
    </xf>
    <xf numFmtId="0" fontId="23" fillId="42" borderId="74" xfId="0" applyFont="1" applyFill="1" applyBorder="1" applyAlignment="1">
      <alignment horizontal="center" vertical="center"/>
    </xf>
    <xf numFmtId="0" fontId="23" fillId="42" borderId="71" xfId="0" applyFont="1" applyFill="1" applyBorder="1" applyAlignment="1">
      <alignment horizontal="center" vertical="center"/>
    </xf>
    <xf numFmtId="0" fontId="23" fillId="42" borderId="34" xfId="0" applyFont="1" applyFill="1" applyBorder="1" applyAlignment="1">
      <alignment horizontal="center" vertical="center"/>
    </xf>
    <xf numFmtId="0" fontId="23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justify" vertical="center" wrapText="1"/>
    </xf>
    <xf numFmtId="0" fontId="14" fillId="42" borderId="10" xfId="0" applyFont="1" applyFill="1" applyBorder="1" applyAlignment="1">
      <alignment horizontal="center" vertical="center" wrapText="1"/>
    </xf>
    <xf numFmtId="3" fontId="14" fillId="42" borderId="10" xfId="0" applyNumberFormat="1" applyFont="1" applyFill="1" applyBorder="1" applyAlignment="1">
      <alignment horizontal="center" vertical="center" wrapText="1"/>
    </xf>
    <xf numFmtId="4" fontId="14" fillId="42" borderId="10" xfId="0" applyNumberFormat="1" applyFont="1" applyFill="1" applyBorder="1" applyAlignment="1">
      <alignment horizontal="center" vertical="center" wrapText="1"/>
    </xf>
    <xf numFmtId="4" fontId="14" fillId="42" borderId="10" xfId="0" applyNumberFormat="1" applyFont="1" applyFill="1" applyBorder="1" applyAlignment="1">
      <alignment horizontal="center" wrapText="1"/>
    </xf>
    <xf numFmtId="0" fontId="14" fillId="42" borderId="10" xfId="0" applyFont="1" applyFill="1" applyBorder="1" applyAlignment="1">
      <alignment horizontal="center" vertical="center"/>
    </xf>
    <xf numFmtId="0" fontId="15" fillId="42" borderId="10" xfId="0" applyFont="1" applyFill="1" applyBorder="1" applyAlignment="1">
      <alignment vertical="center"/>
    </xf>
    <xf numFmtId="0" fontId="15" fillId="42" borderId="10" xfId="0" applyFont="1" applyFill="1" applyBorder="1" applyAlignment="1">
      <alignment/>
    </xf>
    <xf numFmtId="0" fontId="14" fillId="42" borderId="35" xfId="0" applyFont="1" applyFill="1" applyBorder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0" fontId="23" fillId="42" borderId="72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center"/>
    </xf>
    <xf numFmtId="0" fontId="24" fillId="42" borderId="34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justify" vertical="top" wrapText="1"/>
    </xf>
    <xf numFmtId="0" fontId="19" fillId="42" borderId="10" xfId="0" applyFont="1" applyFill="1" applyBorder="1" applyAlignment="1">
      <alignment horizontal="center" vertical="center" wrapText="1"/>
    </xf>
    <xf numFmtId="4" fontId="14" fillId="42" borderId="10" xfId="0" applyNumberFormat="1" applyFont="1" applyFill="1" applyBorder="1" applyAlignment="1">
      <alignment horizontal="center" vertical="center"/>
    </xf>
    <xf numFmtId="0" fontId="15" fillId="42" borderId="10" xfId="0" applyFont="1" applyFill="1" applyBorder="1" applyAlignment="1">
      <alignment vertical="center" wrapText="1"/>
    </xf>
    <xf numFmtId="0" fontId="70" fillId="42" borderId="11" xfId="0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center" vertical="center"/>
    </xf>
    <xf numFmtId="0" fontId="14" fillId="42" borderId="74" xfId="0" applyFont="1" applyFill="1" applyBorder="1" applyAlignment="1">
      <alignment horizontal="center" vertical="center"/>
    </xf>
    <xf numFmtId="0" fontId="14" fillId="42" borderId="72" xfId="0" applyFont="1" applyFill="1" applyBorder="1" applyAlignment="1">
      <alignment horizontal="center" vertical="center"/>
    </xf>
    <xf numFmtId="0" fontId="14" fillId="42" borderId="44" xfId="0" applyFont="1" applyFill="1" applyBorder="1" applyAlignment="1">
      <alignment horizontal="center" vertical="center" wrapText="1"/>
    </xf>
    <xf numFmtId="0" fontId="1" fillId="42" borderId="12" xfId="0" applyFont="1" applyFill="1" applyBorder="1" applyAlignment="1">
      <alignment horizontal="center" vertical="center" wrapText="1"/>
    </xf>
    <xf numFmtId="0" fontId="2" fillId="42" borderId="72" xfId="0" applyFont="1" applyFill="1" applyBorder="1" applyAlignment="1">
      <alignment horizontal="center" vertical="center" wrapText="1"/>
    </xf>
    <xf numFmtId="0" fontId="24" fillId="42" borderId="61" xfId="0" applyFont="1" applyFill="1" applyBorder="1" applyAlignment="1">
      <alignment horizontal="center" vertical="top" wrapText="1"/>
    </xf>
    <xf numFmtId="0" fontId="24" fillId="42" borderId="34" xfId="0" applyFont="1" applyFill="1" applyBorder="1" applyAlignment="1">
      <alignment horizontal="center" vertical="top" wrapText="1"/>
    </xf>
    <xf numFmtId="183" fontId="14" fillId="42" borderId="44" xfId="0" applyNumberFormat="1" applyFont="1" applyFill="1" applyBorder="1" applyAlignment="1">
      <alignment horizontal="center" vertical="center"/>
    </xf>
    <xf numFmtId="0" fontId="14" fillId="42" borderId="44" xfId="0" applyFont="1" applyFill="1" applyBorder="1" applyAlignment="1">
      <alignment horizontal="left" vertical="center"/>
    </xf>
    <xf numFmtId="0" fontId="14" fillId="42" borderId="47" xfId="0" applyFont="1" applyFill="1" applyBorder="1" applyAlignment="1">
      <alignment horizontal="left" vertical="center"/>
    </xf>
    <xf numFmtId="0" fontId="14" fillId="42" borderId="10" xfId="0" applyFont="1" applyFill="1" applyBorder="1" applyAlignment="1">
      <alignment horizontal="justify" vertical="top" wrapText="1"/>
    </xf>
    <xf numFmtId="0" fontId="23" fillId="42" borderId="61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justify" vertical="top" wrapText="1"/>
    </xf>
    <xf numFmtId="0" fontId="24" fillId="42" borderId="34" xfId="0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justify"/>
    </xf>
    <xf numFmtId="3" fontId="2" fillId="42" borderId="10" xfId="0" applyNumberFormat="1" applyFont="1" applyFill="1" applyBorder="1" applyAlignment="1">
      <alignment horizontal="center" wrapText="1"/>
    </xf>
    <xf numFmtId="4" fontId="2" fillId="42" borderId="10" xfId="0" applyNumberFormat="1" applyFont="1" applyFill="1" applyBorder="1" applyAlignment="1">
      <alignment horizontal="center" wrapText="1"/>
    </xf>
    <xf numFmtId="0" fontId="14" fillId="42" borderId="61" xfId="0" applyFont="1" applyFill="1" applyBorder="1" applyAlignment="1">
      <alignment horizontal="center" vertical="center"/>
    </xf>
    <xf numFmtId="0" fontId="14" fillId="42" borderId="74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 wrapText="1"/>
    </xf>
    <xf numFmtId="3" fontId="14" fillId="42" borderId="11" xfId="0" applyNumberFormat="1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center" vertical="top" wrapText="1"/>
    </xf>
    <xf numFmtId="0" fontId="72" fillId="42" borderId="10" xfId="0" applyFont="1" applyFill="1" applyBorder="1" applyAlignment="1">
      <alignment horizontal="center" vertical="center"/>
    </xf>
    <xf numFmtId="0" fontId="76" fillId="42" borderId="10" xfId="0" applyFont="1" applyFill="1" applyBorder="1" applyAlignment="1">
      <alignment horizontal="center" vertical="center"/>
    </xf>
    <xf numFmtId="0" fontId="15" fillId="42" borderId="10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/>
    </xf>
    <xf numFmtId="0" fontId="23" fillId="42" borderId="0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23" fillId="42" borderId="61" xfId="0" applyFont="1" applyFill="1" applyBorder="1" applyAlignment="1">
      <alignment horizontal="left" vertical="center" wrapText="1"/>
    </xf>
    <xf numFmtId="0" fontId="16" fillId="42" borderId="71" xfId="0" applyFont="1" applyFill="1" applyBorder="1" applyAlignment="1">
      <alignment horizontal="right" vertical="top" wrapText="1"/>
    </xf>
    <xf numFmtId="0" fontId="2" fillId="42" borderId="71" xfId="0" applyFont="1" applyFill="1" applyBorder="1" applyAlignment="1">
      <alignment horizontal="center" vertical="top" wrapText="1"/>
    </xf>
    <xf numFmtId="0" fontId="2" fillId="42" borderId="71" xfId="0" applyFont="1" applyFill="1" applyBorder="1" applyAlignment="1">
      <alignment horizontal="center" wrapText="1"/>
    </xf>
    <xf numFmtId="0" fontId="1" fillId="42" borderId="71" xfId="0" applyFont="1" applyFill="1" applyBorder="1" applyAlignment="1">
      <alignment horizontal="center" vertical="center" wrapText="1"/>
    </xf>
    <xf numFmtId="0" fontId="16" fillId="42" borderId="71" xfId="0" applyFont="1" applyFill="1" applyBorder="1" applyAlignment="1">
      <alignment horizontal="center" vertical="center" wrapText="1"/>
    </xf>
    <xf numFmtId="0" fontId="14" fillId="42" borderId="71" xfId="0" applyFont="1" applyFill="1" applyBorder="1" applyAlignment="1">
      <alignment horizontal="center" vertical="center"/>
    </xf>
    <xf numFmtId="0" fontId="14" fillId="42" borderId="71" xfId="0" applyFont="1" applyFill="1" applyBorder="1" applyAlignment="1">
      <alignment horizontal="left" vertical="center"/>
    </xf>
    <xf numFmtId="0" fontId="14" fillId="42" borderId="34" xfId="0" applyFont="1" applyFill="1" applyBorder="1" applyAlignment="1">
      <alignment horizontal="left" vertical="center"/>
    </xf>
    <xf numFmtId="0" fontId="24" fillId="42" borderId="0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left" vertical="center"/>
    </xf>
    <xf numFmtId="0" fontId="37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left" vertical="center"/>
    </xf>
    <xf numFmtId="0" fontId="69" fillId="42" borderId="0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1325"/>
          <c:w val="0.9785"/>
          <c:h val="0.6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коммун.инфраструкт'!$A$2</c:f>
              <c:strCache>
                <c:ptCount val="1"/>
                <c:pt idx="0">
                  <c:v>Динамика изменения фактического объема потерь ЭЭ при ее передаче по распределительным сетям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коммун.инфраструкт'!$B$2:$N$2</c:f>
              <c:numCache/>
            </c:numRef>
          </c:yVal>
          <c:smooth val="1"/>
        </c:ser>
        <c:axId val="13146884"/>
        <c:axId val="51213093"/>
      </c:scatterChart>
      <c:valAx>
        <c:axId val="1314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1213093"/>
        <c:crosses val="autoZero"/>
        <c:crossBetween val="midCat"/>
        <c:dispUnits/>
      </c:valAx>
      <c:valAx>
        <c:axId val="51213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14688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45"/>
          <c:y val="0.8405"/>
          <c:w val="0.783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Экономия ТЭР в натуральном выражении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995"/>
          <c:w val="0.98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 по отдельн видам ТЭР'!$A$3</c:f>
              <c:strCache>
                <c:ptCount val="1"/>
                <c:pt idx="0">
                  <c:v>Экономия электроэнергии в натуральном выражении, тыс. кВт*ч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 по отдельн видам ТЭР'!$B$2:$N$2</c:f>
              <c:numCache/>
            </c:numRef>
          </c:cat>
          <c:val>
            <c:numRef>
              <c:f>'диаграм по отдельн видам ТЭР'!$B$3:$N$3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 по отдельн видам ТЭР'!$A$4</c:f>
              <c:strCache>
                <c:ptCount val="1"/>
                <c:pt idx="0">
                  <c:v>Экономия тепловой энергии в натуральном выражении, тыс.Гкал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 по отдельн видам ТЭР'!$A$5</c:f>
              <c:strCache>
                <c:ptCount val="1"/>
                <c:pt idx="0">
                  <c:v>Экономия воды в натуральном выражении, тыс.м.куб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 по отдельн видам ТЭР'!$A$6</c:f>
              <c:strCache>
                <c:ptCount val="1"/>
                <c:pt idx="0">
                  <c:v>Экономия природного газа в натуральном выражении, тыс. куб.м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ТЭР'!$B$6:$N$6</c:f>
              <c:numCache/>
            </c:numRef>
          </c:val>
          <c:shape val="cylinder"/>
        </c:ser>
        <c:shape val="cylinder"/>
        <c:axId val="39968542"/>
        <c:axId val="24172559"/>
      </c:bar3DChart>
      <c:catAx>
        <c:axId val="39968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4172559"/>
        <c:crosses val="autoZero"/>
        <c:auto val="1"/>
        <c:lblOffset val="100"/>
        <c:tickLblSkip val="1"/>
        <c:noMultiLvlLbl val="0"/>
      </c:catAx>
      <c:valAx>
        <c:axId val="241725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9685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85"/>
          <c:w val="0.4642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275"/>
          <c:w val="0.9792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'диаграм.общ.показ.'!$A$2</c:f>
              <c:strCache>
                <c:ptCount val="1"/>
                <c:pt idx="0">
                  <c: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'диаграм.общ.показ.'!$B$2:$N$2</c:f>
              <c:numCache/>
            </c:numRef>
          </c:val>
          <c:shape val="cylinder"/>
        </c:ser>
        <c:shape val="cylinder"/>
        <c:axId val="16226440"/>
        <c:axId val="11820233"/>
      </c:bar3DChart>
      <c:catAx>
        <c:axId val="16226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1820233"/>
        <c:crosses val="autoZero"/>
        <c:auto val="1"/>
        <c:lblOffset val="100"/>
        <c:tickLblSkip val="1"/>
        <c:noMultiLvlLbl val="0"/>
      </c:catAx>
      <c:valAx>
        <c:axId val="118202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2264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89"/>
          <c:w val="0.8502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325"/>
          <c:w val="0.979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'диаграм.общ.показ.'!$A$3</c:f>
              <c:strCache>
                <c:ptCount val="1"/>
                <c:pt idx="0">
                  <c: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'диаграм.общ.показ.'!$B$3:$N$3</c:f>
              <c:numCache/>
            </c:numRef>
          </c:val>
          <c:shape val="cylinder"/>
        </c:ser>
        <c:shape val="cylinder"/>
        <c:axId val="39273234"/>
        <c:axId val="17914787"/>
      </c:bar3DChart>
      <c:catAx>
        <c:axId val="39273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7914787"/>
        <c:crosses val="autoZero"/>
        <c:auto val="1"/>
        <c:lblOffset val="100"/>
        <c:tickLblSkip val="1"/>
        <c:noMultiLvlLbl val="0"/>
      </c:catAx>
      <c:valAx>
        <c:axId val="17914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2732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785"/>
          <c:w val="0.84725"/>
          <c:h val="0.1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979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'диаграм.общ.показ.'!$A$4</c:f>
              <c:strCache>
                <c:ptCount val="1"/>
                <c:pt idx="0">
                  <c: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'диаграм.общ.показ.'!$B$4:$N$4</c:f>
              <c:numCache/>
            </c:numRef>
          </c:val>
          <c:shape val="cylinder"/>
        </c:ser>
        <c:shape val="cylinder"/>
        <c:axId val="27015356"/>
        <c:axId val="41811613"/>
      </c:bar3DChart>
      <c:catAx>
        <c:axId val="27015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1811613"/>
        <c:crosses val="autoZero"/>
        <c:auto val="1"/>
        <c:lblOffset val="100"/>
        <c:tickLblSkip val="1"/>
        <c:noMultiLvlLbl val="0"/>
      </c:catAx>
      <c:valAx>
        <c:axId val="41811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0153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6325"/>
          <c:w val="0.865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75"/>
          <c:w val="0.97925"/>
          <c:h val="0.6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'диаграм.общ.показ.'!$A$5</c:f>
              <c:strCache>
                <c:ptCount val="1"/>
                <c:pt idx="0">
                  <c: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'диаграм.общ.показ.'!$B$5:$N$5</c:f>
              <c:numCache/>
            </c:numRef>
          </c:val>
          <c:shape val="cylinder"/>
        </c:ser>
        <c:shape val="cylinder"/>
        <c:axId val="40760198"/>
        <c:axId val="31297463"/>
      </c:bar3DChart>
      <c:catAx>
        <c:axId val="40760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1297463"/>
        <c:crosses val="autoZero"/>
        <c:auto val="1"/>
        <c:lblOffset val="100"/>
        <c:tickLblSkip val="1"/>
        <c:noMultiLvlLbl val="0"/>
      </c:catAx>
      <c:valAx>
        <c:axId val="31297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7601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"/>
          <c:y val="0.87725"/>
          <c:w val="0.83725"/>
          <c:h val="0.1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80"/>
                </a:solidFill>
              </a:rPr>
              <a:t>Динамика изменения муниципального продукта и его энергоемкости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85"/>
          <c:w val="0.668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диаграмма1!$A$2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диаграмма1!$D$1:$P$1</c:f>
              <c:numCache/>
            </c:numRef>
          </c:cat>
          <c:val>
            <c:numRef>
              <c:f>диаграмма1!$D$2:$P$2</c:f>
              <c:numCache/>
            </c:numRef>
          </c:val>
          <c:smooth val="0"/>
        </c:ser>
        <c:ser>
          <c:idx val="1"/>
          <c:order val="1"/>
          <c:tx>
            <c:strRef>
              <c:f>диаграмма1!$A$3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диаграмма1!$D$3:$P$3</c:f>
              <c:numCache/>
            </c:numRef>
          </c:val>
          <c:smooth val="0"/>
        </c:ser>
        <c:ser>
          <c:idx val="2"/>
          <c:order val="2"/>
          <c:tx>
            <c:strRef>
              <c:f>диаграмма1!$A$4</c:f>
              <c:strCache>
                <c:ptCount val="1"/>
                <c:pt idx="0">
                  <c:v>Динамика энергоемкости муниципального продукта муниципальных программ области энергосбережения и повышения энергетической эффективности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диаграмма1!$D$4:$P$4</c:f>
              <c:numCache/>
            </c:numRef>
          </c:val>
          <c:smooth val="0"/>
        </c:ser>
        <c:marker val="1"/>
        <c:axId val="13241712"/>
        <c:axId val="52066545"/>
      </c:lineChart>
      <c:catAx>
        <c:axId val="13241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2066545"/>
        <c:crosses val="autoZero"/>
        <c:auto val="1"/>
        <c:lblOffset val="100"/>
        <c:tickLblSkip val="1"/>
        <c:noMultiLvlLbl val="0"/>
      </c:catAx>
      <c:valAx>
        <c:axId val="520665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4171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331"/>
          <c:w val="0.285"/>
          <c:h val="0.3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коммун.инфраструкт'!$A$3</c:f>
              <c:strCache>
                <c:ptCount val="1"/>
                <c:pt idx="0">
                  <c:v>Динамика изменения фактического объема потерь ТЭ при ее передаче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коммун.инфраструкт'!$B$3:$N$3</c:f>
              <c:numCache/>
            </c:numRef>
          </c:yVal>
          <c:smooth val="1"/>
        </c:ser>
        <c:axId val="58264654"/>
        <c:axId val="54619839"/>
      </c:scatterChart>
      <c:valAx>
        <c:axId val="58264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4619839"/>
        <c:crosses val="autoZero"/>
        <c:crossBetween val="midCat"/>
        <c:dispUnits/>
      </c:valAx>
      <c:valAx>
        <c:axId val="546198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826465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855"/>
          <c:w val="0.561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6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коммун.инфраструкт'!$A$4</c:f>
              <c:strCache>
                <c:ptCount val="1"/>
                <c:pt idx="0">
                  <c:v>Динамика изменения фактического объема потерь воды при ее передаче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коммун.инфраструкт'!$B$4:$N$4</c:f>
              <c:numCache/>
            </c:numRef>
          </c:yVal>
          <c:smooth val="1"/>
        </c:ser>
        <c:axId val="21816504"/>
        <c:axId val="62130809"/>
      </c:scatterChart>
      <c:valAx>
        <c:axId val="21816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2130809"/>
        <c:crosses val="autoZero"/>
        <c:crossBetween val="midCat"/>
        <c:dispUnits/>
      </c:valAx>
      <c:valAx>
        <c:axId val="621308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181650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84825"/>
          <c:w val="0.574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875"/>
          <c:w val="0.9785"/>
          <c:h val="0.6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коммун.инфраструкт'!$A$5</c:f>
              <c:strCache>
                <c:ptCount val="1"/>
                <c:pt idx="0">
                  <c:v>Динамика изменения объемов ЭЭ, используемой при передаче (транспортировке) воды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коммун.инфраструкт'!$B$5:$N$5</c:f>
              <c:numCache/>
            </c:numRef>
          </c:yVal>
          <c:smooth val="1"/>
        </c:ser>
        <c:axId val="22306370"/>
        <c:axId val="66539603"/>
      </c:scatterChart>
      <c:valAx>
        <c:axId val="22306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6539603"/>
        <c:crosses val="autoZero"/>
        <c:crossBetween val="midCat"/>
        <c:dispUnits/>
      </c:valAx>
      <c:valAx>
        <c:axId val="665396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30637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845"/>
          <c:w val="0.697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электроэнергии, потребляемой в жилищном фонде, расчеты за которую осущестляются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141"/>
          <c:w val="1"/>
          <c:h val="0.6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'диаграм.жил.фонд'!$A$3</c:f>
              <c:strCache>
                <c:ptCount val="1"/>
                <c:pt idx="0">
                  <c: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'диаграм.жил.фонд'!$A$4</c:f>
              <c:strCache>
                <c:ptCount val="1"/>
                <c:pt idx="0">
                  <c: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'диаграм.жил.фонд'!$B$4:$N$4</c:f>
              <c:numCache/>
            </c:numRef>
          </c:val>
          <c:shape val="cylinder"/>
        </c:ser>
        <c:shape val="cylinder"/>
        <c:axId val="61985516"/>
        <c:axId val="20998733"/>
      </c:bar3DChart>
      <c:catAx>
        <c:axId val="61985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0998733"/>
        <c:crosses val="autoZero"/>
        <c:auto val="1"/>
        <c:lblOffset val="100"/>
        <c:tickLblSkip val="1"/>
        <c:noMultiLvlLbl val="0"/>
      </c:catAx>
      <c:valAx>
        <c:axId val="20998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79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9855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791"/>
          <c:w val="0.81925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тепловой энергии,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'диаграм.жил.фонд'!$A$6</c:f>
              <c:strCache>
                <c:ptCount val="1"/>
                <c:pt idx="0">
                  <c: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'диаграм.жил.фонд'!$B$6:$N$6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'диаграм.жил.фонд'!$A$7</c:f>
              <c:strCache>
                <c:ptCount val="1"/>
                <c:pt idx="0">
                  <c: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'диаграм.жил.фонд'!$B$7:$N$7</c:f>
              <c:numCache/>
            </c:numRef>
          </c:val>
          <c:shape val="cylinder"/>
        </c:ser>
        <c:shape val="cylinder"/>
        <c:axId val="54770870"/>
        <c:axId val="23175783"/>
      </c:bar3DChart>
      <c:catAx>
        <c:axId val="54770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3175783"/>
        <c:crosses val="autoZero"/>
        <c:auto val="1"/>
        <c:lblOffset val="100"/>
        <c:tickLblSkip val="1"/>
        <c:noMultiLvlLbl val="0"/>
      </c:catAx>
      <c:valAx>
        <c:axId val="23175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792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7708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797"/>
          <c:w val="0.833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воды,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'диаграм.жил.фонд'!$A$9</c:f>
              <c:strCache>
                <c:ptCount val="1"/>
                <c:pt idx="0">
                  <c: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'диаграм.жил.фонд'!$B$9:$N$9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'диаграм.жил.фонд'!$A$10</c:f>
              <c:strCache>
                <c:ptCount val="1"/>
                <c:pt idx="0">
                  <c: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'диаграм.жил.фонд'!$B$10:$N$10</c:f>
              <c:numCache/>
            </c:numRef>
          </c:val>
          <c:shape val="cylinder"/>
        </c:ser>
        <c:shape val="cylinder"/>
        <c:axId val="7255456"/>
        <c:axId val="65299105"/>
      </c:bar3DChart>
      <c:catAx>
        <c:axId val="7255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5299105"/>
        <c:crosses val="autoZero"/>
        <c:auto val="1"/>
        <c:lblOffset val="100"/>
        <c:tickLblSkip val="1"/>
        <c:noMultiLvlLbl val="0"/>
      </c:catAx>
      <c:valAx>
        <c:axId val="65299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612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2554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7375"/>
          <c:w val="0.83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объемов природного газа, потребляемого в жилищном фонде, расчеты за который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94"/>
          <c:w val="1"/>
          <c:h val="0.6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'диаграм.жил.фонд'!$A$12</c:f>
              <c:strCache>
                <c:ptCount val="1"/>
                <c:pt idx="0">
                  <c: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'диаграм.жил.фонд'!$B$12:$N$12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'диаграм.жил.фонд'!$A$13</c:f>
              <c:strCache>
                <c:ptCount val="1"/>
                <c:pt idx="0">
                  <c: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'диаграм.жил.фонд'!$B$13:$N$13</c:f>
              <c:numCache/>
            </c:numRef>
          </c:val>
          <c:shape val="cylinder"/>
        </c:ser>
        <c:shape val="cylinder"/>
        <c:axId val="50821034"/>
        <c:axId val="54736123"/>
      </c:bar3DChart>
      <c:catAx>
        <c:axId val="50821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4736123"/>
        <c:crosses val="autoZero"/>
        <c:auto val="1"/>
        <c:lblOffset val="100"/>
        <c:tickLblSkip val="1"/>
        <c:noMultiLvlLbl val="0"/>
      </c:catAx>
      <c:valAx>
        <c:axId val="547361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94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08210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797"/>
          <c:w val="0.831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ТЭР, расчеты за которые осуществляются с помощью приборов учета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875"/>
          <c:w val="0.98"/>
          <c:h val="0.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'диаграм.бюджет.сфера'!$A$3</c:f>
              <c:strCache>
                <c:ptCount val="1"/>
                <c:pt idx="0">
                  <c: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'диаграм.бюджет.сфера'!$A$4</c:f>
              <c:strCache>
                <c:ptCount val="1"/>
                <c:pt idx="0">
                  <c: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'диаграм.бюджет.сфера'!$A$5</c:f>
              <c:strCache>
                <c:ptCount val="1"/>
                <c:pt idx="0">
                  <c: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'диаграм.бюджет.сфера'!$A$6</c:f>
              <c:strCache>
                <c:ptCount val="1"/>
                <c:pt idx="0">
                  <c: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'диаграм.бюджет.сфера'!$B$6:$N$6</c:f>
              <c:numCache/>
            </c:numRef>
          </c:val>
          <c:shape val="cylinder"/>
        </c:ser>
        <c:shape val="cylinder"/>
        <c:axId val="22863060"/>
        <c:axId val="4440949"/>
      </c:bar3DChart>
      <c:catAx>
        <c:axId val="22863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440949"/>
        <c:crosses val="autoZero"/>
        <c:auto val="1"/>
        <c:lblOffset val="100"/>
        <c:tickLblSkip val="1"/>
        <c:noMultiLvlLbl val="0"/>
      </c:catAx>
      <c:valAx>
        <c:axId val="44409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863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74125"/>
          <c:w val="0.87375"/>
          <c:h val="0.2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57150</xdr:rowOff>
    </xdr:from>
    <xdr:to>
      <xdr:col>11</xdr:col>
      <xdr:colOff>361950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8575" y="1876425"/>
        <a:ext cx="8953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11</xdr:col>
      <xdr:colOff>342900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0" y="7515225"/>
        <a:ext cx="896302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11</xdr:col>
      <xdr:colOff>352425</xdr:colOff>
      <xdr:row>106</xdr:row>
      <xdr:rowOff>76200</xdr:rowOff>
    </xdr:to>
    <xdr:graphicFrame>
      <xdr:nvGraphicFramePr>
        <xdr:cNvPr id="3" name="Chart 3"/>
        <xdr:cNvGraphicFramePr/>
      </xdr:nvGraphicFramePr>
      <xdr:xfrm>
        <a:off x="0" y="13020675"/>
        <a:ext cx="89725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11</xdr:col>
      <xdr:colOff>361950</xdr:colOff>
      <xdr:row>140</xdr:row>
      <xdr:rowOff>85725</xdr:rowOff>
    </xdr:to>
    <xdr:graphicFrame>
      <xdr:nvGraphicFramePr>
        <xdr:cNvPr id="4" name="Chart 4"/>
        <xdr:cNvGraphicFramePr/>
      </xdr:nvGraphicFramePr>
      <xdr:xfrm>
        <a:off x="0" y="18526125"/>
        <a:ext cx="8982075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9</xdr:col>
      <xdr:colOff>114300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66675" y="11677650"/>
        <a:ext cx="75152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57150</xdr:colOff>
      <xdr:row>95</xdr:row>
      <xdr:rowOff>38100</xdr:rowOff>
    </xdr:to>
    <xdr:graphicFrame>
      <xdr:nvGraphicFramePr>
        <xdr:cNvPr id="2" name="Chart 2"/>
        <xdr:cNvGraphicFramePr/>
      </xdr:nvGraphicFramePr>
      <xdr:xfrm>
        <a:off x="0" y="18459450"/>
        <a:ext cx="752475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66675</xdr:colOff>
      <xdr:row>136</xdr:row>
      <xdr:rowOff>47625</xdr:rowOff>
    </xdr:to>
    <xdr:graphicFrame>
      <xdr:nvGraphicFramePr>
        <xdr:cNvPr id="3" name="Chart 3"/>
        <xdr:cNvGraphicFramePr/>
      </xdr:nvGraphicFramePr>
      <xdr:xfrm>
        <a:off x="0" y="25098375"/>
        <a:ext cx="7534275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138</xdr:row>
      <xdr:rowOff>47625</xdr:rowOff>
    </xdr:from>
    <xdr:to>
      <xdr:col>9</xdr:col>
      <xdr:colOff>76200</xdr:colOff>
      <xdr:row>177</xdr:row>
      <xdr:rowOff>57150</xdr:rowOff>
    </xdr:to>
    <xdr:graphicFrame>
      <xdr:nvGraphicFramePr>
        <xdr:cNvPr id="4" name="Chart 4"/>
        <xdr:cNvGraphicFramePr/>
      </xdr:nvGraphicFramePr>
      <xdr:xfrm>
        <a:off x="0" y="31946850"/>
        <a:ext cx="7543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55626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27051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8</xdr:col>
      <xdr:colOff>533400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3724275"/>
        <a:ext cx="9239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485775</xdr:colOff>
      <xdr:row>63</xdr:row>
      <xdr:rowOff>38100</xdr:rowOff>
    </xdr:to>
    <xdr:graphicFrame>
      <xdr:nvGraphicFramePr>
        <xdr:cNvPr id="2" name="Chart 2"/>
        <xdr:cNvGraphicFramePr/>
      </xdr:nvGraphicFramePr>
      <xdr:xfrm>
        <a:off x="0" y="8791575"/>
        <a:ext cx="92487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495300</xdr:colOff>
      <xdr:row>92</xdr:row>
      <xdr:rowOff>47625</xdr:rowOff>
    </xdr:to>
    <xdr:graphicFrame>
      <xdr:nvGraphicFramePr>
        <xdr:cNvPr id="3" name="Chart 3"/>
        <xdr:cNvGraphicFramePr/>
      </xdr:nvGraphicFramePr>
      <xdr:xfrm>
        <a:off x="0" y="13563600"/>
        <a:ext cx="92583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8</xdr:col>
      <xdr:colOff>504825</xdr:colOff>
      <xdr:row>121</xdr:row>
      <xdr:rowOff>57150</xdr:rowOff>
    </xdr:to>
    <xdr:graphicFrame>
      <xdr:nvGraphicFramePr>
        <xdr:cNvPr id="4" name="Chart 4"/>
        <xdr:cNvGraphicFramePr/>
      </xdr:nvGraphicFramePr>
      <xdr:xfrm>
        <a:off x="0" y="18259425"/>
        <a:ext cx="9267825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2466975"/>
        <a:ext cx="11544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3">
      <selection activeCell="B1" sqref="B1:N5"/>
    </sheetView>
  </sheetViews>
  <sheetFormatPr defaultColWidth="9.140625" defaultRowHeight="12.75"/>
  <cols>
    <col min="1" max="1" width="31.8515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12.75">
      <c r="A1" s="215"/>
      <c r="B1" s="451">
        <f>'расчет показат'!E4</f>
        <v>2007</v>
      </c>
      <c r="C1" s="451">
        <f>'расчет показат'!F4</f>
        <v>2008</v>
      </c>
      <c r="D1" s="451">
        <f>'расчет показат'!G4</f>
        <v>2009</v>
      </c>
      <c r="E1" s="451">
        <f>'расчет показат'!H4</f>
        <v>2010</v>
      </c>
      <c r="F1" s="451">
        <f>'расчет показат'!I4</f>
        <v>2011</v>
      </c>
      <c r="G1" s="451">
        <f>'расчет показат'!J4</f>
        <v>2012</v>
      </c>
      <c r="H1" s="451">
        <f>'расчет показат'!K4</f>
        <v>2013</v>
      </c>
      <c r="I1" s="451">
        <f>'расчет показат'!L4</f>
        <v>2014</v>
      </c>
      <c r="J1" s="451">
        <f>'расчет показат'!M4</f>
        <v>2015</v>
      </c>
      <c r="K1" s="451">
        <f>'расчет показат'!N4</f>
        <v>2016</v>
      </c>
      <c r="L1" s="451">
        <f>'расчет показат'!O4</f>
        <v>2017</v>
      </c>
      <c r="M1" s="451">
        <f>'расчет показат'!P4</f>
        <v>2018</v>
      </c>
      <c r="N1" s="451">
        <f>'расчет показат'!Q4</f>
        <v>2019</v>
      </c>
    </row>
    <row r="2" spans="1:14" ht="41.25" customHeight="1">
      <c r="A2" s="217" t="str">
        <f>'расчет показат'!B117</f>
        <v>Динамика изменения фактического объема потерь ЭЭ при ее передаче по распределительным сетям</v>
      </c>
      <c r="B2" s="452" t="e">
        <f>'ЗНАЧЕНИЕ ЦЕЛЕВЫХ ПОКАЗАТЕЛЕЙ'!#REF!</f>
        <v>#REF!</v>
      </c>
      <c r="C2" s="452" t="e">
        <f>'ЗНАЧЕНИЕ ЦЕЛЕВЫХ ПОКАЗАТЕЛЕЙ'!#REF!</f>
        <v>#REF!</v>
      </c>
      <c r="D2" s="452" t="e">
        <f>'ЗНАЧЕНИЕ ЦЕЛЕВЫХ ПОКАЗАТЕЛЕЙ'!#REF!</f>
        <v>#REF!</v>
      </c>
      <c r="E2" s="452" t="e">
        <f>'ЗНАЧЕНИЕ ЦЕЛЕВЫХ ПОКАЗАТЕЛЕЙ'!#REF!</f>
        <v>#REF!</v>
      </c>
      <c r="F2" s="452" t="e">
        <f>'ЗНАЧЕНИЕ ЦЕЛЕВЫХ ПОКАЗАТЕЛЕЙ'!#REF!</f>
        <v>#REF!</v>
      </c>
      <c r="G2" s="452" t="e">
        <f>'ЗНАЧЕНИЕ ЦЕЛЕВЫХ ПОКАЗАТЕЛЕЙ'!#REF!</f>
        <v>#REF!</v>
      </c>
      <c r="H2" s="452" t="e">
        <f>'ЗНАЧЕНИЕ ЦЕЛЕВЫХ ПОКАЗАТЕЛЕЙ'!#REF!</f>
        <v>#REF!</v>
      </c>
      <c r="I2" s="452" t="e">
        <f>'ЗНАЧЕНИЕ ЦЕЛЕВЫХ ПОКАЗАТЕЛЕЙ'!#REF!</f>
        <v>#REF!</v>
      </c>
      <c r="J2" s="452" t="e">
        <f>'ЗНАЧЕНИЕ ЦЕЛЕВЫХ ПОКАЗАТЕЛЕЙ'!#REF!</f>
        <v>#REF!</v>
      </c>
      <c r="K2" s="452" t="e">
        <f>'ЗНАЧЕНИЕ ЦЕЛЕВЫХ ПОКАЗАТЕЛЕЙ'!#REF!</f>
        <v>#REF!</v>
      </c>
      <c r="L2" s="452" t="e">
        <f>'ЗНАЧЕНИЕ ЦЕЛЕВЫХ ПОКАЗАТЕЛЕЙ'!#REF!</f>
        <v>#REF!</v>
      </c>
      <c r="M2" s="452" t="e">
        <f>'ЗНАЧЕНИЕ ЦЕЛЕВЫХ ПОКАЗАТЕЛЕЙ'!#REF!</f>
        <v>#REF!</v>
      </c>
      <c r="N2" s="452" t="e">
        <f>'ЗНАЧЕНИЕ ЦЕЛЕВЫХ ПОКАЗАТЕЛЕЙ'!#REF!</f>
        <v>#REF!</v>
      </c>
    </row>
    <row r="3" spans="1:14" ht="26.25" customHeight="1">
      <c r="A3" s="217" t="str">
        <f>'расчет показат'!B118</f>
        <v>Динамика изменения фактического объема потерь ТЭ при ее передаче</v>
      </c>
      <c r="B3" s="452" t="e">
        <f>'ЗНАЧЕНИЕ ЦЕЛЕВЫХ ПОКАЗАТЕЛЕЙ'!#REF!</f>
        <v>#REF!</v>
      </c>
      <c r="C3" s="452" t="e">
        <f>'ЗНАЧЕНИЕ ЦЕЛЕВЫХ ПОКАЗАТЕЛЕЙ'!#REF!</f>
        <v>#REF!</v>
      </c>
      <c r="D3" s="452" t="e">
        <f>'ЗНАЧЕНИЕ ЦЕЛЕВЫХ ПОКАЗАТЕЛЕЙ'!#REF!</f>
        <v>#REF!</v>
      </c>
      <c r="E3" s="452" t="e">
        <f>'ЗНАЧЕНИЕ ЦЕЛЕВЫХ ПОКАЗАТЕЛЕЙ'!#REF!</f>
        <v>#REF!</v>
      </c>
      <c r="F3" s="452" t="e">
        <f>'ЗНАЧЕНИЕ ЦЕЛЕВЫХ ПОКАЗАТЕЛЕЙ'!#REF!</f>
        <v>#REF!</v>
      </c>
      <c r="G3" s="452" t="e">
        <f>'ЗНАЧЕНИЕ ЦЕЛЕВЫХ ПОКАЗАТЕЛЕЙ'!#REF!</f>
        <v>#REF!</v>
      </c>
      <c r="H3" s="452" t="e">
        <f>'ЗНАЧЕНИЕ ЦЕЛЕВЫХ ПОКАЗАТЕЛЕЙ'!#REF!</f>
        <v>#REF!</v>
      </c>
      <c r="I3" s="452" t="e">
        <f>'ЗНАЧЕНИЕ ЦЕЛЕВЫХ ПОКАЗАТЕЛЕЙ'!#REF!</f>
        <v>#REF!</v>
      </c>
      <c r="J3" s="452" t="e">
        <f>'ЗНАЧЕНИЕ ЦЕЛЕВЫХ ПОКАЗАТЕЛЕЙ'!#REF!</f>
        <v>#REF!</v>
      </c>
      <c r="K3" s="452" t="e">
        <f>'ЗНАЧЕНИЕ ЦЕЛЕВЫХ ПОКАЗАТЕЛЕЙ'!#REF!</f>
        <v>#REF!</v>
      </c>
      <c r="L3" s="452" t="e">
        <f>'ЗНАЧЕНИЕ ЦЕЛЕВЫХ ПОКАЗАТЕЛЕЙ'!#REF!</f>
        <v>#REF!</v>
      </c>
      <c r="M3" s="452" t="e">
        <f>'ЗНАЧЕНИЕ ЦЕЛЕВЫХ ПОКАЗАТЕЛЕЙ'!#REF!</f>
        <v>#REF!</v>
      </c>
      <c r="N3" s="452" t="e">
        <f>'ЗНАЧЕНИЕ ЦЕЛЕВЫХ ПОКАЗАТЕЛЕЙ'!#REF!</f>
        <v>#REF!</v>
      </c>
    </row>
    <row r="4" spans="1:14" ht="25.5">
      <c r="A4" s="217" t="str">
        <f>'расчет показат'!B119</f>
        <v>Динамика изменения фактического объема потерь воды при ее передаче</v>
      </c>
      <c r="B4" s="452" t="e">
        <f>'ЗНАЧЕНИЕ ЦЕЛЕВЫХ ПОКАЗАТЕЛЕЙ'!#REF!</f>
        <v>#REF!</v>
      </c>
      <c r="C4" s="452" t="e">
        <f>'ЗНАЧЕНИЕ ЦЕЛЕВЫХ ПОКАЗАТЕЛЕЙ'!#REF!</f>
        <v>#REF!</v>
      </c>
      <c r="D4" s="452" t="e">
        <f>'ЗНАЧЕНИЕ ЦЕЛЕВЫХ ПОКАЗАТЕЛЕЙ'!#REF!</f>
        <v>#REF!</v>
      </c>
      <c r="E4" s="452" t="e">
        <f>'ЗНАЧЕНИЕ ЦЕЛЕВЫХ ПОКАЗАТЕЛЕЙ'!#REF!</f>
        <v>#REF!</v>
      </c>
      <c r="F4" s="452" t="e">
        <f>'ЗНАЧЕНИЕ ЦЕЛЕВЫХ ПОКАЗАТЕЛЕЙ'!#REF!</f>
        <v>#REF!</v>
      </c>
      <c r="G4" s="452" t="e">
        <f>'ЗНАЧЕНИЕ ЦЕЛЕВЫХ ПОКАЗАТЕЛЕЙ'!#REF!</f>
        <v>#REF!</v>
      </c>
      <c r="H4" s="452" t="e">
        <f>'ЗНАЧЕНИЕ ЦЕЛЕВЫХ ПОКАЗАТЕЛЕЙ'!#REF!</f>
        <v>#REF!</v>
      </c>
      <c r="I4" s="452" t="e">
        <f>'ЗНАЧЕНИЕ ЦЕЛЕВЫХ ПОКАЗАТЕЛЕЙ'!#REF!</f>
        <v>#REF!</v>
      </c>
      <c r="J4" s="452" t="e">
        <f>'ЗНАЧЕНИЕ ЦЕЛЕВЫХ ПОКАЗАТЕЛЕЙ'!#REF!</f>
        <v>#REF!</v>
      </c>
      <c r="K4" s="452" t="e">
        <f>'ЗНАЧЕНИЕ ЦЕЛЕВЫХ ПОКАЗАТЕЛЕЙ'!#REF!</f>
        <v>#REF!</v>
      </c>
      <c r="L4" s="452" t="e">
        <f>'ЗНАЧЕНИЕ ЦЕЛЕВЫХ ПОКАЗАТЕЛЕЙ'!#REF!</f>
        <v>#REF!</v>
      </c>
      <c r="M4" s="452" t="e">
        <f>'ЗНАЧЕНИЕ ЦЕЛЕВЫХ ПОКАЗАТЕЛЕЙ'!#REF!</f>
        <v>#REF!</v>
      </c>
      <c r="N4" s="452" t="e">
        <f>'ЗНАЧЕНИЕ ЦЕЛЕВЫХ ПОКАЗАТЕЛЕЙ'!#REF!</f>
        <v>#REF!</v>
      </c>
    </row>
    <row r="5" spans="1:14" ht="37.5" customHeight="1">
      <c r="A5" s="217" t="str">
        <f>'расчет показат'!B120</f>
        <v>Динамика изменения объемов ЭЭ, используемой при передаче (транспортировке) воды</v>
      </c>
      <c r="B5" s="452" t="e">
        <f>'ЗНАЧЕНИЕ ЦЕЛЕВЫХ ПОКАЗАТЕЛЕЙ'!#REF!</f>
        <v>#REF!</v>
      </c>
      <c r="C5" s="452" t="e">
        <f>'ЗНАЧЕНИЕ ЦЕЛЕВЫХ ПОКАЗАТЕЛЕЙ'!#REF!</f>
        <v>#REF!</v>
      </c>
      <c r="D5" s="452" t="e">
        <f>'ЗНАЧЕНИЕ ЦЕЛЕВЫХ ПОКАЗАТЕЛЕЙ'!#REF!</f>
        <v>#REF!</v>
      </c>
      <c r="E5" s="452" t="e">
        <f>'ЗНАЧЕНИЕ ЦЕЛЕВЫХ ПОКАЗАТЕЛЕЙ'!#REF!</f>
        <v>#REF!</v>
      </c>
      <c r="F5" s="452" t="e">
        <f>'ЗНАЧЕНИЕ ЦЕЛЕВЫХ ПОКАЗАТЕЛЕЙ'!#REF!</f>
        <v>#REF!</v>
      </c>
      <c r="G5" s="452" t="e">
        <f>'ЗНАЧЕНИЕ ЦЕЛЕВЫХ ПОКАЗАТЕЛЕЙ'!#REF!</f>
        <v>#REF!</v>
      </c>
      <c r="H5" s="452" t="e">
        <f>'ЗНАЧЕНИЕ ЦЕЛЕВЫХ ПОКАЗАТЕЛЕЙ'!#REF!</f>
        <v>#REF!</v>
      </c>
      <c r="I5" s="452" t="e">
        <f>'ЗНАЧЕНИЕ ЦЕЛЕВЫХ ПОКАЗАТЕЛЕЙ'!#REF!</f>
        <v>#REF!</v>
      </c>
      <c r="J5" s="452" t="e">
        <f>'ЗНАЧЕНИЕ ЦЕЛЕВЫХ ПОКАЗАТЕЛЕЙ'!#REF!</f>
        <v>#REF!</v>
      </c>
      <c r="K5" s="452" t="e">
        <f>'ЗНАЧЕНИЕ ЦЕЛЕВЫХ ПОКАЗАТЕЛЕЙ'!#REF!</f>
        <v>#REF!</v>
      </c>
      <c r="L5" s="452" t="e">
        <f>'ЗНАЧЕНИЕ ЦЕЛЕВЫХ ПОКАЗАТЕЛЕЙ'!#REF!</f>
        <v>#REF!</v>
      </c>
      <c r="M5" s="452" t="e">
        <f>'ЗНАЧЕНИЕ ЦЕЛЕВЫХ ПОКАЗАТЕЛЕЙ'!#REF!</f>
        <v>#REF!</v>
      </c>
      <c r="N5" s="452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C13">
      <selection activeCell="S22" sqref="S22"/>
    </sheetView>
  </sheetViews>
  <sheetFormatPr defaultColWidth="9.140625" defaultRowHeight="12.75"/>
  <cols>
    <col min="1" max="1" width="17.00390625" style="216" customWidth="1"/>
    <col min="2" max="2" width="10.421875" style="216" customWidth="1"/>
    <col min="3" max="3" width="15.140625" style="216" customWidth="1"/>
    <col min="4" max="5" width="9.140625" style="216" customWidth="1"/>
    <col min="6" max="6" width="12.28125" style="216" customWidth="1"/>
    <col min="7" max="8" width="9.140625" style="216" customWidth="1"/>
    <col min="9" max="9" width="17.57421875" style="216" customWidth="1"/>
    <col min="10" max="12" width="9.140625" style="216" customWidth="1"/>
    <col min="13" max="13" width="12.00390625" style="216" customWidth="1"/>
    <col min="14" max="16" width="9.140625" style="216" customWidth="1"/>
    <col min="17" max="17" width="19.8515625" style="216" customWidth="1"/>
    <col min="18" max="27" width="9.140625" style="216" customWidth="1"/>
    <col min="28" max="28" width="9.7109375" style="216" customWidth="1"/>
    <col min="29" max="16384" width="9.140625" style="216" customWidth="1"/>
  </cols>
  <sheetData>
    <row r="1" spans="1:30" ht="45.75" customHeight="1" thickBot="1">
      <c r="A1" s="558" t="s">
        <v>412</v>
      </c>
      <c r="B1" s="561" t="s">
        <v>275</v>
      </c>
      <c r="C1" s="562"/>
      <c r="D1" s="562"/>
      <c r="E1" s="562"/>
      <c r="F1" s="563"/>
      <c r="H1" s="443"/>
      <c r="I1" s="533" t="s">
        <v>412</v>
      </c>
      <c r="J1" s="549" t="s">
        <v>276</v>
      </c>
      <c r="K1" s="533"/>
      <c r="L1" s="533"/>
      <c r="M1" s="533"/>
      <c r="N1" s="534"/>
      <c r="Q1" s="530" t="s">
        <v>412</v>
      </c>
      <c r="R1" s="533" t="s">
        <v>277</v>
      </c>
      <c r="S1" s="533"/>
      <c r="T1" s="533"/>
      <c r="U1" s="533"/>
      <c r="V1" s="534"/>
      <c r="Y1" s="397" t="s">
        <v>412</v>
      </c>
      <c r="Z1" s="398" t="s">
        <v>449</v>
      </c>
      <c r="AA1" s="398"/>
      <c r="AB1" s="398"/>
      <c r="AC1" s="398"/>
      <c r="AD1" s="399"/>
    </row>
    <row r="2" spans="1:30" ht="75.75" customHeight="1" thickBot="1">
      <c r="A2" s="559"/>
      <c r="B2" s="564" t="s">
        <v>413</v>
      </c>
      <c r="C2" s="566" t="s">
        <v>414</v>
      </c>
      <c r="D2" s="567"/>
      <c r="E2" s="566" t="s">
        <v>415</v>
      </c>
      <c r="F2" s="567"/>
      <c r="H2" s="444"/>
      <c r="I2" s="554"/>
      <c r="J2" s="552" t="s">
        <v>413</v>
      </c>
      <c r="K2" s="550" t="s">
        <v>414</v>
      </c>
      <c r="L2" s="551"/>
      <c r="M2" s="556" t="s">
        <v>415</v>
      </c>
      <c r="N2" s="557"/>
      <c r="Q2" s="531"/>
      <c r="R2" s="535" t="s">
        <v>413</v>
      </c>
      <c r="S2" s="537" t="s">
        <v>414</v>
      </c>
      <c r="T2" s="538"/>
      <c r="U2" s="537" t="s">
        <v>415</v>
      </c>
      <c r="V2" s="538"/>
      <c r="Y2" s="400"/>
      <c r="Z2" s="214" t="s">
        <v>413</v>
      </c>
      <c r="AA2" s="214" t="s">
        <v>414</v>
      </c>
      <c r="AB2" s="214"/>
      <c r="AC2" s="214" t="s">
        <v>415</v>
      </c>
      <c r="AD2" s="401"/>
    </row>
    <row r="3" spans="1:30" ht="30.75" thickBot="1">
      <c r="A3" s="560"/>
      <c r="B3" s="565"/>
      <c r="C3" s="431" t="s">
        <v>496</v>
      </c>
      <c r="D3" s="431" t="s">
        <v>14</v>
      </c>
      <c r="E3" s="431" t="s">
        <v>416</v>
      </c>
      <c r="F3" s="431" t="s">
        <v>417</v>
      </c>
      <c r="H3" s="445">
        <v>2007</v>
      </c>
      <c r="I3" s="555"/>
      <c r="J3" s="553"/>
      <c r="K3" s="441" t="s">
        <v>496</v>
      </c>
      <c r="L3" s="442" t="s">
        <v>14</v>
      </c>
      <c r="M3" s="441" t="s">
        <v>416</v>
      </c>
      <c r="N3" s="442" t="s">
        <v>417</v>
      </c>
      <c r="Q3" s="532"/>
      <c r="R3" s="536"/>
      <c r="S3" s="435" t="s">
        <v>496</v>
      </c>
      <c r="T3" s="435" t="s">
        <v>14</v>
      </c>
      <c r="U3" s="447" t="s">
        <v>416</v>
      </c>
      <c r="V3" s="435" t="s">
        <v>417</v>
      </c>
      <c r="Y3" s="400"/>
      <c r="Z3" s="214"/>
      <c r="AA3" s="214" t="s">
        <v>496</v>
      </c>
      <c r="AB3" s="214" t="s">
        <v>14</v>
      </c>
      <c r="AC3" s="214" t="s">
        <v>416</v>
      </c>
      <c r="AD3" s="401" t="s">
        <v>417</v>
      </c>
    </row>
    <row r="4" spans="1:30" ht="51">
      <c r="A4" s="546" t="s">
        <v>418</v>
      </c>
      <c r="B4" s="404" t="e">
        <f>#REF!</f>
        <v>#REF!</v>
      </c>
      <c r="C4" s="405" t="e">
        <f>B4*0.123</f>
        <v>#REF!</v>
      </c>
      <c r="D4" s="404" t="e">
        <f>C4/C17*100</f>
        <v>#REF!</v>
      </c>
      <c r="E4" s="404"/>
      <c r="F4" s="404"/>
      <c r="H4" s="436"/>
      <c r="I4" s="433" t="s">
        <v>418</v>
      </c>
      <c r="J4" s="436" t="e">
        <f>#REF!</f>
        <v>#REF!</v>
      </c>
      <c r="K4" s="433" t="e">
        <f>J4*0.123</f>
        <v>#REF!</v>
      </c>
      <c r="L4" s="436" t="e">
        <f>K4/K17*100</f>
        <v>#REF!</v>
      </c>
      <c r="M4" s="433"/>
      <c r="N4" s="436"/>
      <c r="Q4" s="436" t="s">
        <v>418</v>
      </c>
      <c r="R4" s="433" t="e">
        <f>#REF!</f>
        <v>#REF!</v>
      </c>
      <c r="S4" s="436" t="e">
        <f>R4*0.123</f>
        <v>#REF!</v>
      </c>
      <c r="T4" s="436" t="e">
        <f>S4/S17*100</f>
        <v>#REF!</v>
      </c>
      <c r="U4" s="433"/>
      <c r="V4" s="436"/>
      <c r="Y4" s="400" t="s">
        <v>418</v>
      </c>
      <c r="Z4" s="218" t="e">
        <f>#REF!</f>
        <v>#REF!</v>
      </c>
      <c r="AA4" s="214" t="e">
        <f>Z4*0.123</f>
        <v>#REF!</v>
      </c>
      <c r="AB4" s="214" t="e">
        <f>AA4/AA17*100</f>
        <v>#REF!</v>
      </c>
      <c r="AC4" s="214"/>
      <c r="AD4" s="401"/>
    </row>
    <row r="5" spans="1:30" ht="15">
      <c r="A5" s="547"/>
      <c r="B5" s="404"/>
      <c r="C5" s="406"/>
      <c r="D5" s="404"/>
      <c r="E5" s="404"/>
      <c r="F5" s="404"/>
      <c r="H5" s="437"/>
      <c r="I5" s="432" t="s">
        <v>430</v>
      </c>
      <c r="J5" s="437"/>
      <c r="K5" s="432"/>
      <c r="L5" s="437"/>
      <c r="M5" s="432"/>
      <c r="N5" s="437"/>
      <c r="Q5" s="437"/>
      <c r="R5" s="432"/>
      <c r="S5" s="437"/>
      <c r="T5" s="437"/>
      <c r="U5" s="432"/>
      <c r="V5" s="437"/>
      <c r="Y5" s="400"/>
      <c r="Z5" s="214"/>
      <c r="AA5" s="214"/>
      <c r="AB5" s="214"/>
      <c r="AC5" s="214"/>
      <c r="AD5" s="401"/>
    </row>
    <row r="6" spans="1:30" ht="15">
      <c r="A6" s="547"/>
      <c r="B6" s="407"/>
      <c r="C6" s="407"/>
      <c r="D6" s="404"/>
      <c r="E6" s="407"/>
      <c r="F6" s="407"/>
      <c r="H6" s="437"/>
      <c r="I6" s="432"/>
      <c r="J6" s="437"/>
      <c r="K6" s="432"/>
      <c r="L6" s="437"/>
      <c r="M6" s="432"/>
      <c r="N6" s="437"/>
      <c r="Q6" s="437" t="s">
        <v>430</v>
      </c>
      <c r="R6" s="432"/>
      <c r="S6" s="437"/>
      <c r="T6" s="437"/>
      <c r="U6" s="432"/>
      <c r="V6" s="437"/>
      <c r="Y6" s="400" t="s">
        <v>430</v>
      </c>
      <c r="Z6" s="214"/>
      <c r="AA6" s="214"/>
      <c r="AB6" s="214"/>
      <c r="AC6" s="214"/>
      <c r="AD6" s="401"/>
    </row>
    <row r="7" spans="1:30" ht="15.75" thickBot="1">
      <c r="A7" s="548"/>
      <c r="B7" s="409"/>
      <c r="C7" s="409"/>
      <c r="D7" s="402"/>
      <c r="E7" s="409"/>
      <c r="F7" s="409"/>
      <c r="H7" s="437"/>
      <c r="I7" s="432"/>
      <c r="J7" s="437"/>
      <c r="K7" s="432"/>
      <c r="L7" s="437"/>
      <c r="M7" s="432"/>
      <c r="N7" s="437"/>
      <c r="Q7" s="437"/>
      <c r="R7" s="432"/>
      <c r="S7" s="437"/>
      <c r="T7" s="437"/>
      <c r="U7" s="432"/>
      <c r="V7" s="437"/>
      <c r="Y7" s="400"/>
      <c r="Z7" s="214"/>
      <c r="AA7" s="214"/>
      <c r="AB7" s="214"/>
      <c r="AC7" s="214"/>
      <c r="AD7" s="401"/>
    </row>
    <row r="8" spans="1:30" ht="15">
      <c r="A8" s="410" t="s">
        <v>419</v>
      </c>
      <c r="B8" s="539" t="e">
        <f>#REF!/1000</f>
        <v>#REF!</v>
      </c>
      <c r="C8" s="541" t="e">
        <f>B8*1.137*1000</f>
        <v>#REF!</v>
      </c>
      <c r="D8" s="411" t="e">
        <f>C8/C17*100</f>
        <v>#REF!</v>
      </c>
      <c r="E8" s="539"/>
      <c r="F8" s="539"/>
      <c r="H8" s="436"/>
      <c r="I8" s="433" t="s">
        <v>419</v>
      </c>
      <c r="J8" s="436" t="e">
        <f>#REF!/1000</f>
        <v>#REF!</v>
      </c>
      <c r="K8" s="433" t="e">
        <f>J8*1.137*1000</f>
        <v>#REF!</v>
      </c>
      <c r="L8" s="436" t="e">
        <f>K8/K17*100</f>
        <v>#REF!</v>
      </c>
      <c r="M8" s="433"/>
      <c r="N8" s="436"/>
      <c r="Q8" s="436" t="s">
        <v>419</v>
      </c>
      <c r="R8" s="433" t="e">
        <f>#REF!/1000</f>
        <v>#REF!</v>
      </c>
      <c r="S8" s="436" t="e">
        <f>R8*1.137*1000</f>
        <v>#REF!</v>
      </c>
      <c r="T8" s="436" t="e">
        <f>S8/S17*100</f>
        <v>#REF!</v>
      </c>
      <c r="U8" s="433"/>
      <c r="V8" s="436"/>
      <c r="Y8" s="400" t="s">
        <v>419</v>
      </c>
      <c r="Z8" s="218" t="e">
        <f>#REF!/1000</f>
        <v>#REF!</v>
      </c>
      <c r="AA8" s="214" t="e">
        <f>Z8*1.137*1000</f>
        <v>#REF!</v>
      </c>
      <c r="AB8" s="214" t="e">
        <f>AA8/AA17*100</f>
        <v>#REF!</v>
      </c>
      <c r="AC8" s="214"/>
      <c r="AD8" s="401"/>
    </row>
    <row r="9" spans="1:30" ht="15.75" thickBot="1">
      <c r="A9" s="412" t="s">
        <v>420</v>
      </c>
      <c r="B9" s="540"/>
      <c r="C9" s="542"/>
      <c r="D9" s="412"/>
      <c r="E9" s="540"/>
      <c r="F9" s="540"/>
      <c r="H9" s="438"/>
      <c r="I9" s="434" t="s">
        <v>420</v>
      </c>
      <c r="J9" s="438"/>
      <c r="K9" s="434"/>
      <c r="L9" s="438"/>
      <c r="M9" s="434"/>
      <c r="N9" s="438"/>
      <c r="Q9" s="438" t="s">
        <v>420</v>
      </c>
      <c r="R9" s="434"/>
      <c r="S9" s="438"/>
      <c r="T9" s="438"/>
      <c r="U9" s="434"/>
      <c r="V9" s="438"/>
      <c r="Y9" s="400" t="s">
        <v>420</v>
      </c>
      <c r="Z9" s="214"/>
      <c r="AA9" s="214"/>
      <c r="AB9" s="214"/>
      <c r="AC9" s="214"/>
      <c r="AD9" s="401"/>
    </row>
    <row r="10" spans="1:30" ht="15">
      <c r="A10" s="410" t="s">
        <v>421</v>
      </c>
      <c r="B10" s="539">
        <v>0</v>
      </c>
      <c r="C10" s="543">
        <f>B10*1570</f>
        <v>0</v>
      </c>
      <c r="D10" s="539" t="e">
        <f>C10/C17*100</f>
        <v>#REF!</v>
      </c>
      <c r="E10" s="539"/>
      <c r="F10" s="539"/>
      <c r="H10" s="436"/>
      <c r="I10" s="433" t="s">
        <v>421</v>
      </c>
      <c r="J10" s="436">
        <v>0</v>
      </c>
      <c r="K10" s="433">
        <f>J10*1570</f>
        <v>0</v>
      </c>
      <c r="L10" s="436" t="e">
        <f>K10/K17*100</f>
        <v>#REF!</v>
      </c>
      <c r="M10" s="433"/>
      <c r="N10" s="436"/>
      <c r="Q10" s="436" t="s">
        <v>421</v>
      </c>
      <c r="R10" s="433">
        <v>0</v>
      </c>
      <c r="S10" s="436">
        <f>R10*1570</f>
        <v>0</v>
      </c>
      <c r="T10" s="436" t="e">
        <f>S10/S17*100</f>
        <v>#REF!</v>
      </c>
      <c r="U10" s="433"/>
      <c r="V10" s="436"/>
      <c r="Y10" s="400" t="s">
        <v>421</v>
      </c>
      <c r="Z10" s="214">
        <v>0</v>
      </c>
      <c r="AA10" s="214">
        <f>Z10*1570</f>
        <v>0</v>
      </c>
      <c r="AB10" s="214" t="e">
        <f>AA10/AA17*100</f>
        <v>#REF!</v>
      </c>
      <c r="AC10" s="214"/>
      <c r="AD10" s="401"/>
    </row>
    <row r="11" spans="1:30" ht="15.75" thickBot="1">
      <c r="A11" s="412" t="s">
        <v>422</v>
      </c>
      <c r="B11" s="540"/>
      <c r="C11" s="544"/>
      <c r="D11" s="540"/>
      <c r="E11" s="540"/>
      <c r="F11" s="540"/>
      <c r="H11" s="438"/>
      <c r="I11" s="434" t="s">
        <v>422</v>
      </c>
      <c r="J11" s="438"/>
      <c r="K11" s="434"/>
      <c r="L11" s="438"/>
      <c r="M11" s="434"/>
      <c r="N11" s="438"/>
      <c r="Q11" s="438" t="s">
        <v>422</v>
      </c>
      <c r="R11" s="434"/>
      <c r="S11" s="438"/>
      <c r="T11" s="438"/>
      <c r="U11" s="434"/>
      <c r="V11" s="438"/>
      <c r="Y11" s="400" t="s">
        <v>422</v>
      </c>
      <c r="Z11" s="214"/>
      <c r="AA11" s="214"/>
      <c r="AB11" s="214"/>
      <c r="AC11" s="214"/>
      <c r="AD11" s="401"/>
    </row>
    <row r="12" spans="1:30" ht="30.75" thickBot="1">
      <c r="A12" s="412" t="s">
        <v>423</v>
      </c>
      <c r="B12" s="403">
        <v>0</v>
      </c>
      <c r="C12" s="413">
        <f>B12*1.37</f>
        <v>0</v>
      </c>
      <c r="D12" s="402" t="e">
        <f>C12/C17*100</f>
        <v>#REF!</v>
      </c>
      <c r="E12" s="402"/>
      <c r="F12" s="402"/>
      <c r="H12" s="440"/>
      <c r="I12" s="439" t="s">
        <v>423</v>
      </c>
      <c r="J12" s="440">
        <v>0</v>
      </c>
      <c r="K12" s="439">
        <f>J12*1.37</f>
        <v>0</v>
      </c>
      <c r="L12" s="440" t="e">
        <f>K12/K17*100</f>
        <v>#REF!</v>
      </c>
      <c r="M12" s="439"/>
      <c r="N12" s="440"/>
      <c r="Q12" s="440" t="s">
        <v>423</v>
      </c>
      <c r="R12" s="439">
        <v>0</v>
      </c>
      <c r="S12" s="440">
        <f>R12*1.37</f>
        <v>0</v>
      </c>
      <c r="T12" s="440" t="e">
        <f>S12/S17*100</f>
        <v>#REF!</v>
      </c>
      <c r="U12" s="439"/>
      <c r="V12" s="440"/>
      <c r="Y12" s="400" t="s">
        <v>423</v>
      </c>
      <c r="Z12" s="214">
        <v>0</v>
      </c>
      <c r="AA12" s="214">
        <f>Z12*1.37</f>
        <v>0</v>
      </c>
      <c r="AB12" s="214" t="e">
        <f>AA12/AA17*100</f>
        <v>#REF!</v>
      </c>
      <c r="AC12" s="214"/>
      <c r="AD12" s="401"/>
    </row>
    <row r="13" spans="1:30" ht="30.75" thickBot="1">
      <c r="A13" s="412" t="s">
        <v>424</v>
      </c>
      <c r="B13" s="403">
        <v>0.12</v>
      </c>
      <c r="C13" s="414">
        <f>B13*768</f>
        <v>92.16</v>
      </c>
      <c r="D13" s="402" t="e">
        <f>C13/C17*100</f>
        <v>#REF!</v>
      </c>
      <c r="E13" s="402"/>
      <c r="F13" s="402"/>
      <c r="H13" s="440"/>
      <c r="I13" s="439" t="s">
        <v>424</v>
      </c>
      <c r="J13" s="440">
        <v>0.14</v>
      </c>
      <c r="K13" s="439">
        <f>J13*768</f>
        <v>107.52000000000001</v>
      </c>
      <c r="L13" s="440" t="e">
        <f>K13/K17*100</f>
        <v>#REF!</v>
      </c>
      <c r="M13" s="439"/>
      <c r="N13" s="440"/>
      <c r="Q13" s="440" t="s">
        <v>424</v>
      </c>
      <c r="R13" s="446">
        <v>0.11</v>
      </c>
      <c r="S13" s="440">
        <f>R13*768</f>
        <v>84.48</v>
      </c>
      <c r="T13" s="440" t="e">
        <f>S13/S17*100</f>
        <v>#REF!</v>
      </c>
      <c r="U13" s="439"/>
      <c r="V13" s="440"/>
      <c r="Y13" s="400" t="s">
        <v>424</v>
      </c>
      <c r="Z13" s="214">
        <v>0</v>
      </c>
      <c r="AA13" s="214">
        <f>Z13*768</f>
        <v>0</v>
      </c>
      <c r="AB13" s="214" t="e">
        <f>AA13/AA17*100</f>
        <v>#REF!</v>
      </c>
      <c r="AC13" s="214"/>
      <c r="AD13" s="401"/>
    </row>
    <row r="14" spans="1:30" ht="30">
      <c r="A14" s="410" t="s">
        <v>425</v>
      </c>
      <c r="B14" s="416" t="e">
        <f>0.7*(#REF!+#REF!)/1000</f>
        <v>#REF!</v>
      </c>
      <c r="C14" s="411" t="e">
        <f>B14*266</f>
        <v>#REF!</v>
      </c>
      <c r="D14" s="411" t="e">
        <f>C14/C17*100</f>
        <v>#REF!</v>
      </c>
      <c r="E14" s="539"/>
      <c r="F14" s="539"/>
      <c r="H14" s="436"/>
      <c r="I14" s="433" t="s">
        <v>425</v>
      </c>
      <c r="J14" s="436" t="e">
        <f>0.7*(#REF!+#REF!)/1000</f>
        <v>#REF!</v>
      </c>
      <c r="K14" s="433" t="e">
        <f>J14*266</f>
        <v>#REF!</v>
      </c>
      <c r="L14" s="436" t="e">
        <f>K14/K17*100</f>
        <v>#REF!</v>
      </c>
      <c r="M14" s="433"/>
      <c r="N14" s="436"/>
      <c r="Q14" s="436" t="s">
        <v>425</v>
      </c>
      <c r="R14" s="433" t="e">
        <f>0.7*(#REF!+#REF!)/1000</f>
        <v>#REF!</v>
      </c>
      <c r="S14" s="436" t="e">
        <f>R14*266</f>
        <v>#REF!</v>
      </c>
      <c r="T14" s="436" t="e">
        <f>S14/S17*100</f>
        <v>#REF!</v>
      </c>
      <c r="U14" s="433"/>
      <c r="V14" s="436"/>
      <c r="Y14" s="400" t="s">
        <v>425</v>
      </c>
      <c r="Z14" s="214">
        <v>0</v>
      </c>
      <c r="AA14" s="214">
        <f>Z14*266</f>
        <v>0</v>
      </c>
      <c r="AB14" s="214" t="e">
        <f>AA14/AA17*100</f>
        <v>#REF!</v>
      </c>
      <c r="AC14" s="214"/>
      <c r="AD14" s="401"/>
    </row>
    <row r="15" spans="1:30" ht="15.75" thickBot="1">
      <c r="A15" s="412" t="s">
        <v>426</v>
      </c>
      <c r="B15" s="417"/>
      <c r="C15" s="412"/>
      <c r="D15" s="412"/>
      <c r="E15" s="540"/>
      <c r="F15" s="540"/>
      <c r="H15" s="438"/>
      <c r="I15" s="434" t="s">
        <v>426</v>
      </c>
      <c r="J15" s="438"/>
      <c r="K15" s="434"/>
      <c r="L15" s="438"/>
      <c r="M15" s="434"/>
      <c r="N15" s="438"/>
      <c r="Q15" s="438" t="s">
        <v>426</v>
      </c>
      <c r="R15" s="434"/>
      <c r="S15" s="438"/>
      <c r="T15" s="438"/>
      <c r="U15" s="434"/>
      <c r="V15" s="438"/>
      <c r="Y15" s="400" t="s">
        <v>426</v>
      </c>
      <c r="Z15" s="214"/>
      <c r="AA15" s="214"/>
      <c r="AB15" s="214"/>
      <c r="AC15" s="214"/>
      <c r="AD15" s="401"/>
    </row>
    <row r="16" spans="1:30" ht="45.75" thickBot="1">
      <c r="A16" s="408" t="s">
        <v>427</v>
      </c>
      <c r="B16" s="403">
        <v>0</v>
      </c>
      <c r="C16" s="418">
        <f>B16*600</f>
        <v>0</v>
      </c>
      <c r="D16" s="402" t="e">
        <f>C16/C17*100</f>
        <v>#REF!</v>
      </c>
      <c r="E16" s="402"/>
      <c r="F16" s="402"/>
      <c r="H16" s="440"/>
      <c r="I16" s="439" t="s">
        <v>427</v>
      </c>
      <c r="J16" s="440">
        <v>0</v>
      </c>
      <c r="K16" s="439">
        <f>J16*600</f>
        <v>0</v>
      </c>
      <c r="L16" s="440" t="e">
        <f>K16/K17*100</f>
        <v>#REF!</v>
      </c>
      <c r="M16" s="439"/>
      <c r="N16" s="440"/>
      <c r="Q16" s="440" t="s">
        <v>427</v>
      </c>
      <c r="R16" s="439">
        <v>0</v>
      </c>
      <c r="S16" s="440">
        <f>R16*600</f>
        <v>0</v>
      </c>
      <c r="T16" s="440" t="e">
        <f>S16/S17*100</f>
        <v>#REF!</v>
      </c>
      <c r="U16" s="439"/>
      <c r="V16" s="440"/>
      <c r="Y16" s="400" t="s">
        <v>427</v>
      </c>
      <c r="Z16" s="214">
        <v>0</v>
      </c>
      <c r="AA16" s="214">
        <f>Z16*600</f>
        <v>0</v>
      </c>
      <c r="AB16" s="214" t="e">
        <f>AA16/AA17*100</f>
        <v>#REF!</v>
      </c>
      <c r="AC16" s="214"/>
      <c r="AD16" s="401"/>
    </row>
    <row r="17" spans="1:30" ht="15.75" thickBot="1">
      <c r="A17" s="419" t="s">
        <v>428</v>
      </c>
      <c r="B17" s="402" t="s">
        <v>102</v>
      </c>
      <c r="C17" s="420" t="e">
        <f>C4+C8+C10+C12+C13+C14+C16+D20+D21+D22</f>
        <v>#REF!</v>
      </c>
      <c r="D17" s="402">
        <v>100</v>
      </c>
      <c r="E17" s="402"/>
      <c r="F17" s="402">
        <v>100</v>
      </c>
      <c r="H17" s="440"/>
      <c r="I17" s="439" t="s">
        <v>428</v>
      </c>
      <c r="J17" s="440" t="s">
        <v>102</v>
      </c>
      <c r="K17" s="439" t="e">
        <f>K4+K8+K10+K12+K13+K14+K16+L20+L21+L22</f>
        <v>#REF!</v>
      </c>
      <c r="L17" s="440">
        <v>100</v>
      </c>
      <c r="M17" s="439"/>
      <c r="N17" s="440">
        <v>100</v>
      </c>
      <c r="Q17" s="438" t="s">
        <v>428</v>
      </c>
      <c r="R17" s="434" t="s">
        <v>102</v>
      </c>
      <c r="S17" s="438" t="e">
        <f>S4+S8+S10+S12+S13+S14+S16+T22+T23+T24</f>
        <v>#REF!</v>
      </c>
      <c r="T17" s="438">
        <v>100</v>
      </c>
      <c r="U17" s="434"/>
      <c r="V17" s="438">
        <v>100</v>
      </c>
      <c r="Y17" s="421" t="s">
        <v>428</v>
      </c>
      <c r="Z17" s="422" t="s">
        <v>102</v>
      </c>
      <c r="AA17" s="422" t="e">
        <f>AA4+AA8+AA10+AA12+AA13+AA14+AA16+AB22+AB23+AB24</f>
        <v>#REF!</v>
      </c>
      <c r="AB17" s="422">
        <v>100</v>
      </c>
      <c r="AC17" s="422"/>
      <c r="AD17" s="423">
        <v>100</v>
      </c>
    </row>
    <row r="18" spans="3:27" ht="12.75">
      <c r="C18" s="216" t="e">
        <f>C17/1000</f>
        <v>#REF!</v>
      </c>
      <c r="K18" s="216" t="e">
        <f>K17/1000</f>
        <v>#REF!</v>
      </c>
      <c r="S18" s="216" t="e">
        <f>S17/1000</f>
        <v>#REF!</v>
      </c>
      <c r="AA18" s="424" t="e">
        <f>AA17/1000+X26/1000</f>
        <v>#REF!</v>
      </c>
    </row>
    <row r="19" spans="10:27" ht="12.75">
      <c r="J19" s="216" t="s">
        <v>248</v>
      </c>
      <c r="K19" s="216" t="s">
        <v>394</v>
      </c>
      <c r="L19" s="216" t="s">
        <v>247</v>
      </c>
      <c r="AA19" s="424" t="e">
        <f>#REF!</f>
        <v>#REF!</v>
      </c>
    </row>
    <row r="20" spans="1:30" ht="38.25">
      <c r="A20" s="448" t="s">
        <v>215</v>
      </c>
      <c r="B20" s="214">
        <v>1596</v>
      </c>
      <c r="C20" s="214">
        <v>1.49</v>
      </c>
      <c r="D20" s="214">
        <f>B20*C20</f>
        <v>2378.04</v>
      </c>
      <c r="E20" s="214"/>
      <c r="F20" s="214"/>
      <c r="G20" s="214" t="s">
        <v>246</v>
      </c>
      <c r="H20" s="216">
        <v>0.732</v>
      </c>
      <c r="I20" s="448" t="s">
        <v>215</v>
      </c>
      <c r="J20" s="214">
        <v>1661</v>
      </c>
      <c r="K20" s="214">
        <v>1.49</v>
      </c>
      <c r="L20" s="214">
        <f>J20*K20</f>
        <v>2474.89</v>
      </c>
      <c r="M20" s="214"/>
      <c r="N20" s="214"/>
      <c r="Q20" s="425" t="s">
        <v>470</v>
      </c>
      <c r="R20" s="216" t="s">
        <v>169</v>
      </c>
      <c r="S20" s="216" t="e">
        <f>(S38+S41+S42)/1.137</f>
        <v>#REF!</v>
      </c>
      <c r="AA20" s="424" t="e">
        <f>AA19-AA18</f>
        <v>#REF!</v>
      </c>
      <c r="AB20" s="426" t="e">
        <f>AA20*1000/1.137</f>
        <v>#REF!</v>
      </c>
      <c r="AD20" s="216">
        <v>-271.5032021615198</v>
      </c>
    </row>
    <row r="21" spans="1:30" ht="30">
      <c r="A21" s="448" t="s">
        <v>216</v>
      </c>
      <c r="B21" s="214">
        <v>880</v>
      </c>
      <c r="C21" s="214">
        <v>1.45</v>
      </c>
      <c r="D21" s="214">
        <f>B21*C21</f>
        <v>1276</v>
      </c>
      <c r="E21" s="214"/>
      <c r="F21" s="214"/>
      <c r="G21" s="214" t="s">
        <v>246</v>
      </c>
      <c r="H21" s="216">
        <v>0.81</v>
      </c>
      <c r="I21" s="448" t="s">
        <v>216</v>
      </c>
      <c r="J21" s="214">
        <v>860</v>
      </c>
      <c r="K21" s="214">
        <v>1.45</v>
      </c>
      <c r="L21" s="214">
        <f>J21*K21</f>
        <v>1247</v>
      </c>
      <c r="M21" s="214"/>
      <c r="N21" s="214"/>
      <c r="T21" s="216" t="s">
        <v>247</v>
      </c>
      <c r="AD21" s="216">
        <v>1353.972240781214</v>
      </c>
    </row>
    <row r="22" spans="1:22" ht="30">
      <c r="A22" s="448" t="s">
        <v>217</v>
      </c>
      <c r="B22" s="214"/>
      <c r="C22" s="214"/>
      <c r="D22" s="214">
        <v>0</v>
      </c>
      <c r="E22" s="214"/>
      <c r="F22" s="214"/>
      <c r="G22" s="214"/>
      <c r="I22" s="448" t="s">
        <v>217</v>
      </c>
      <c r="J22" s="214"/>
      <c r="K22" s="214"/>
      <c r="L22" s="214">
        <v>0</v>
      </c>
      <c r="M22" s="214"/>
      <c r="N22" s="214"/>
      <c r="Q22" s="448" t="s">
        <v>215</v>
      </c>
      <c r="R22" s="415">
        <v>1437</v>
      </c>
      <c r="S22" s="214">
        <v>1.49</v>
      </c>
      <c r="T22" s="214">
        <f>R22*S22</f>
        <v>2141.13</v>
      </c>
      <c r="U22" s="214"/>
      <c r="V22" s="214"/>
    </row>
    <row r="23" spans="17:22" ht="15">
      <c r="Q23" s="448" t="s">
        <v>216</v>
      </c>
      <c r="R23" s="415">
        <v>730</v>
      </c>
      <c r="S23" s="214">
        <v>1.45</v>
      </c>
      <c r="T23" s="214">
        <f>R23*S23</f>
        <v>1058.5</v>
      </c>
      <c r="U23" s="214"/>
      <c r="V23" s="214"/>
    </row>
    <row r="24" spans="9:24" ht="30">
      <c r="I24" s="427"/>
      <c r="Q24" s="448" t="s">
        <v>217</v>
      </c>
      <c r="R24" s="214"/>
      <c r="S24" s="214"/>
      <c r="T24" s="214">
        <v>0</v>
      </c>
      <c r="U24" s="214"/>
      <c r="V24" s="214"/>
      <c r="X24" s="216" t="s">
        <v>450</v>
      </c>
    </row>
    <row r="25" spans="3:9" ht="15">
      <c r="C25" s="428"/>
      <c r="D25" s="428"/>
      <c r="E25" s="428"/>
      <c r="F25" s="428"/>
      <c r="G25" s="428"/>
      <c r="H25" s="428"/>
      <c r="I25" s="427"/>
    </row>
    <row r="26" spans="3:24" ht="15">
      <c r="C26" s="428"/>
      <c r="D26" s="347"/>
      <c r="E26" s="428"/>
      <c r="F26" s="428"/>
      <c r="G26" s="428"/>
      <c r="H26" s="428"/>
      <c r="I26" s="427"/>
      <c r="T26" s="429">
        <f>T22+T23</f>
        <v>3199.63</v>
      </c>
      <c r="X26" s="460" t="e">
        <f>T26-'данные база'!Q219*1000</f>
        <v>#REF!</v>
      </c>
    </row>
    <row r="27" spans="3:9" ht="15">
      <c r="C27" s="428"/>
      <c r="D27" s="347"/>
      <c r="E27" s="428"/>
      <c r="F27" s="428"/>
      <c r="G27" s="428"/>
      <c r="H27" s="428"/>
      <c r="I27" s="427"/>
    </row>
    <row r="28" spans="3:18" ht="15.75">
      <c r="C28" s="428"/>
      <c r="D28" s="347"/>
      <c r="E28" s="428"/>
      <c r="F28" s="428"/>
      <c r="G28" s="428"/>
      <c r="H28" s="428"/>
      <c r="I28" s="428"/>
      <c r="R28" s="450" t="s">
        <v>437</v>
      </c>
    </row>
    <row r="29" spans="3:22" ht="15">
      <c r="C29" s="428"/>
      <c r="D29" s="347"/>
      <c r="E29" s="428"/>
      <c r="F29" s="428"/>
      <c r="G29" s="428"/>
      <c r="H29" s="428"/>
      <c r="I29" s="428"/>
      <c r="Q29" s="528" t="s">
        <v>412</v>
      </c>
      <c r="R29" s="525" t="s">
        <v>277</v>
      </c>
      <c r="S29" s="526"/>
      <c r="T29" s="526"/>
      <c r="U29" s="526"/>
      <c r="V29" s="527"/>
    </row>
    <row r="30" spans="3:22" ht="51">
      <c r="C30" s="428"/>
      <c r="D30" s="428"/>
      <c r="E30" s="428"/>
      <c r="F30" s="428"/>
      <c r="G30" s="428"/>
      <c r="H30" s="428"/>
      <c r="I30" s="428"/>
      <c r="Q30" s="545"/>
      <c r="R30" s="528" t="s">
        <v>413</v>
      </c>
      <c r="S30" s="430" t="s">
        <v>414</v>
      </c>
      <c r="T30" s="430"/>
      <c r="U30" s="525" t="s">
        <v>415</v>
      </c>
      <c r="V30" s="527"/>
    </row>
    <row r="31" spans="17:22" ht="12.75">
      <c r="Q31" s="529"/>
      <c r="R31" s="529"/>
      <c r="S31" s="430" t="s">
        <v>496</v>
      </c>
      <c r="T31" s="430" t="s">
        <v>14</v>
      </c>
      <c r="U31" s="430" t="s">
        <v>416</v>
      </c>
      <c r="V31" s="430" t="s">
        <v>417</v>
      </c>
    </row>
    <row r="32" spans="17:22" ht="51">
      <c r="Q32" s="430" t="s">
        <v>418</v>
      </c>
      <c r="R32" s="430" t="e">
        <f>(#REF!+#REF!)/1000</f>
        <v>#REF!</v>
      </c>
      <c r="S32" s="430" t="e">
        <f>R32*0.123</f>
        <v>#REF!</v>
      </c>
      <c r="T32" s="430" t="e">
        <f>S32/S45*100</f>
        <v>#REF!</v>
      </c>
      <c r="U32" s="430"/>
      <c r="V32" s="430"/>
    </row>
    <row r="33" spans="17:22" ht="12.75">
      <c r="Q33" s="430"/>
      <c r="R33" s="430"/>
      <c r="S33" s="430"/>
      <c r="T33" s="430"/>
      <c r="U33" s="430"/>
      <c r="V33" s="430"/>
    </row>
    <row r="34" spans="17:22" ht="12.75">
      <c r="Q34" s="430" t="s">
        <v>430</v>
      </c>
      <c r="R34" s="430"/>
      <c r="S34" s="430"/>
      <c r="T34" s="430"/>
      <c r="U34" s="430"/>
      <c r="V34" s="430"/>
    </row>
    <row r="35" spans="4:22" ht="15">
      <c r="D35" s="251" t="s">
        <v>100</v>
      </c>
      <c r="Q35" s="430"/>
      <c r="R35" s="430"/>
      <c r="S35" s="430"/>
      <c r="T35" s="430"/>
      <c r="U35" s="430"/>
      <c r="V35" s="430"/>
    </row>
    <row r="36" spans="4:22" ht="15">
      <c r="D36" s="251" t="s">
        <v>103</v>
      </c>
      <c r="Q36" s="430" t="s">
        <v>419</v>
      </c>
      <c r="R36" s="430" t="e">
        <f>(#REF!+#REF!)/1000</f>
        <v>#REF!</v>
      </c>
      <c r="S36" s="430" t="e">
        <f>R36*1.137*1000</f>
        <v>#REF!</v>
      </c>
      <c r="T36" s="430" t="e">
        <f>S36/S45*100</f>
        <v>#REF!</v>
      </c>
      <c r="U36" s="430"/>
      <c r="V36" s="430"/>
    </row>
    <row r="37" spans="17:22" ht="12.75">
      <c r="Q37" s="430" t="s">
        <v>420</v>
      </c>
      <c r="R37" s="430"/>
      <c r="S37" s="430"/>
      <c r="T37" s="430"/>
      <c r="U37" s="430"/>
      <c r="V37" s="430"/>
    </row>
    <row r="38" spans="17:22" ht="12.75">
      <c r="Q38" s="430" t="s">
        <v>421</v>
      </c>
      <c r="R38" s="430">
        <v>0</v>
      </c>
      <c r="S38" s="430">
        <f>R38*1570</f>
        <v>0</v>
      </c>
      <c r="T38" s="430" t="e">
        <f>S38/S45*100</f>
        <v>#REF!</v>
      </c>
      <c r="U38" s="430"/>
      <c r="V38" s="430"/>
    </row>
    <row r="39" spans="17:22" ht="12.75">
      <c r="Q39" s="430" t="s">
        <v>422</v>
      </c>
      <c r="R39" s="430"/>
      <c r="S39" s="430"/>
      <c r="T39" s="430"/>
      <c r="U39" s="430"/>
      <c r="V39" s="430"/>
    </row>
    <row r="40" spans="17:22" ht="25.5">
      <c r="Q40" s="430" t="s">
        <v>423</v>
      </c>
      <c r="R40" s="430">
        <v>0</v>
      </c>
      <c r="S40" s="430">
        <f>R40*1.37</f>
        <v>0</v>
      </c>
      <c r="T40" s="430" t="e">
        <f>S40/S45*100</f>
        <v>#REF!</v>
      </c>
      <c r="U40" s="430"/>
      <c r="V40" s="430"/>
    </row>
    <row r="41" spans="4:22" ht="25.5">
      <c r="D41" s="254"/>
      <c r="Q41" s="430" t="s">
        <v>424</v>
      </c>
      <c r="R41" s="430">
        <v>0</v>
      </c>
      <c r="S41" s="430">
        <f>R41*768</f>
        <v>0</v>
      </c>
      <c r="T41" s="430" t="e">
        <f>S41/S45*100</f>
        <v>#REF!</v>
      </c>
      <c r="U41" s="430"/>
      <c r="V41" s="430"/>
    </row>
    <row r="42" spans="17:22" ht="12.75">
      <c r="Q42" s="430" t="s">
        <v>425</v>
      </c>
      <c r="R42" s="430" t="e">
        <f>R14</f>
        <v>#REF!</v>
      </c>
      <c r="S42" s="430" t="e">
        <f>R42*266</f>
        <v>#REF!</v>
      </c>
      <c r="T42" s="430" t="e">
        <f>S42/S45*100</f>
        <v>#REF!</v>
      </c>
      <c r="U42" s="430"/>
      <c r="V42" s="430"/>
    </row>
    <row r="43" spans="17:22" ht="12.75">
      <c r="Q43" s="430" t="s">
        <v>426</v>
      </c>
      <c r="R43" s="430"/>
      <c r="S43" s="430"/>
      <c r="T43" s="430"/>
      <c r="U43" s="430"/>
      <c r="V43" s="430"/>
    </row>
    <row r="44" spans="17:22" ht="25.5">
      <c r="Q44" s="430" t="s">
        <v>427</v>
      </c>
      <c r="R44" s="430">
        <v>0</v>
      </c>
      <c r="S44" s="430">
        <f>R44*600</f>
        <v>0</v>
      </c>
      <c r="T44" s="430" t="e">
        <f>S44/S45*100</f>
        <v>#REF!</v>
      </c>
      <c r="U44" s="430"/>
      <c r="V44" s="430"/>
    </row>
    <row r="45" spans="17:22" ht="12.75">
      <c r="Q45" s="430" t="s">
        <v>428</v>
      </c>
      <c r="R45" s="430" t="s">
        <v>102</v>
      </c>
      <c r="S45" s="430" t="e">
        <f>S32+S36+S38+S40+S41+S42+S44+T50+T51+T52</f>
        <v>#REF!</v>
      </c>
      <c r="T45" s="430">
        <v>100</v>
      </c>
      <c r="U45" s="430"/>
      <c r="V45" s="430">
        <v>100</v>
      </c>
    </row>
    <row r="46" spans="17:22" ht="12.75">
      <c r="Q46" s="449"/>
      <c r="R46" s="449"/>
      <c r="S46" s="449"/>
      <c r="T46" s="449"/>
      <c r="U46" s="449"/>
      <c r="V46" s="449"/>
    </row>
  </sheetData>
  <sheetProtection password="CF6E" sheet="1" objects="1" scenarios="1" selectLockedCells="1" selectUnlockedCells="1"/>
  <mergeCells count="31">
    <mergeCell ref="E2:F2"/>
    <mergeCell ref="F14:F15"/>
    <mergeCell ref="E14:E15"/>
    <mergeCell ref="E8:E9"/>
    <mergeCell ref="E10:E11"/>
    <mergeCell ref="F10:F11"/>
    <mergeCell ref="F8:F9"/>
    <mergeCell ref="A4:A7"/>
    <mergeCell ref="J1:N1"/>
    <mergeCell ref="K2:L2"/>
    <mergeCell ref="J2:J3"/>
    <mergeCell ref="I1:I3"/>
    <mergeCell ref="M2:N2"/>
    <mergeCell ref="A1:A3"/>
    <mergeCell ref="B1:F1"/>
    <mergeCell ref="B2:B3"/>
    <mergeCell ref="C2:D2"/>
    <mergeCell ref="B10:B11"/>
    <mergeCell ref="D10:D11"/>
    <mergeCell ref="B8:B9"/>
    <mergeCell ref="C8:C9"/>
    <mergeCell ref="C10:C11"/>
    <mergeCell ref="Q29:Q31"/>
    <mergeCell ref="R29:V29"/>
    <mergeCell ref="R30:R31"/>
    <mergeCell ref="U30:V30"/>
    <mergeCell ref="Q1:Q3"/>
    <mergeCell ref="R1:V1"/>
    <mergeCell ref="R2:R3"/>
    <mergeCell ref="S2:T2"/>
    <mergeCell ref="U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30">
      <selection activeCell="B6" sqref="B6"/>
    </sheetView>
  </sheetViews>
  <sheetFormatPr defaultColWidth="9.140625" defaultRowHeight="12.75"/>
  <cols>
    <col min="1" max="1" width="31.140625" style="216" customWidth="1"/>
    <col min="2" max="2" width="9.57421875" style="216" customWidth="1"/>
    <col min="3" max="3" width="15.140625" style="216" customWidth="1"/>
    <col min="4" max="4" width="9.57421875" style="216" customWidth="1"/>
    <col min="5" max="6" width="9.57421875" style="216" bestFit="1" customWidth="1"/>
    <col min="7" max="16384" width="9.140625" style="216" customWidth="1"/>
  </cols>
  <sheetData>
    <row r="1" spans="1:19" s="220" customFormat="1" ht="16.5" thickBot="1">
      <c r="A1" s="498" t="s">
        <v>184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500"/>
      <c r="P1" s="500"/>
      <c r="Q1" s="500"/>
      <c r="R1" s="500"/>
      <c r="S1" s="501"/>
    </row>
    <row r="2" spans="1:19" ht="14.25">
      <c r="A2" s="223"/>
      <c r="B2" s="459">
        <f>'расчет показат'!E4</f>
        <v>2007</v>
      </c>
      <c r="C2" s="459">
        <f>'расчет показат'!F4</f>
        <v>2008</v>
      </c>
      <c r="D2" s="459">
        <f>'расчет показат'!G4</f>
        <v>2009</v>
      </c>
      <c r="E2" s="459">
        <f>'расчет показат'!H4</f>
        <v>2010</v>
      </c>
      <c r="F2" s="459">
        <f>'расчет показат'!I4</f>
        <v>2011</v>
      </c>
      <c r="G2" s="459">
        <f>'расчет показат'!J4</f>
        <v>2012</v>
      </c>
      <c r="H2" s="459">
        <f>'расчет показат'!K4</f>
        <v>2013</v>
      </c>
      <c r="I2" s="459">
        <f>'расчет показат'!L4</f>
        <v>2014</v>
      </c>
      <c r="J2" s="459">
        <f>'расчет показат'!M4</f>
        <v>2015</v>
      </c>
      <c r="K2" s="459">
        <f>'расчет показат'!N4</f>
        <v>2016</v>
      </c>
      <c r="L2" s="459">
        <f>'расчет показат'!O4</f>
        <v>2017</v>
      </c>
      <c r="M2" s="459">
        <f>'расчет показат'!P4</f>
        <v>2018</v>
      </c>
      <c r="N2" s="459">
        <f>'расчет показат'!Q4</f>
        <v>2019</v>
      </c>
      <c r="O2" s="222"/>
      <c r="P2" s="222"/>
      <c r="Q2" s="222"/>
      <c r="R2" s="222"/>
      <c r="S2" s="222"/>
    </row>
    <row r="3" spans="1:19" ht="105.75" customHeight="1">
      <c r="A3" s="217" t="str">
        <f>'расчет показат'!B58</f>
        <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v>
      </c>
      <c r="B3" s="459" t="e">
        <f>'ЗНАЧЕНИЕ ЦЕЛЕВЫХ ПОКАЗАТЕЛЕЙ'!#REF!</f>
        <v>#REF!</v>
      </c>
      <c r="C3" s="459" t="e">
        <f>'ЗНАЧЕНИЕ ЦЕЛЕВЫХ ПОКАЗАТЕЛЕЙ'!#REF!</f>
        <v>#REF!</v>
      </c>
      <c r="D3" s="459" t="e">
        <f>'ЗНАЧЕНИЕ ЦЕЛЕВЫХ ПОКАЗАТЕЛЕЙ'!#REF!</f>
        <v>#REF!</v>
      </c>
      <c r="E3" s="459" t="e">
        <f>'ЗНАЧЕНИЕ ЦЕЛЕВЫХ ПОКАЗАТЕЛЕЙ'!#REF!</f>
        <v>#REF!</v>
      </c>
      <c r="F3" s="459" t="e">
        <f>'ЗНАЧЕНИЕ ЦЕЛЕВЫХ ПОКАЗАТЕЛЕЙ'!#REF!</f>
        <v>#REF!</v>
      </c>
      <c r="G3" s="459" t="e">
        <f>'ЗНАЧЕНИЕ ЦЕЛЕВЫХ ПОКАЗАТЕЛЕЙ'!#REF!</f>
        <v>#REF!</v>
      </c>
      <c r="H3" s="459" t="e">
        <f>'ЗНАЧЕНИЕ ЦЕЛЕВЫХ ПОКАЗАТЕЛЕЙ'!#REF!</f>
        <v>#REF!</v>
      </c>
      <c r="I3" s="459" t="e">
        <f>'ЗНАЧЕНИЕ ЦЕЛЕВЫХ ПОКАЗАТЕЛЕЙ'!#REF!</f>
        <v>#REF!</v>
      </c>
      <c r="J3" s="459" t="e">
        <f>'ЗНАЧЕНИЕ ЦЕЛЕВЫХ ПОКАЗАТЕЛЕЙ'!#REF!</f>
        <v>#REF!</v>
      </c>
      <c r="K3" s="459" t="e">
        <f>'ЗНАЧЕНИЕ ЦЕЛЕВЫХ ПОКАЗАТЕЛЕЙ'!#REF!</f>
        <v>#REF!</v>
      </c>
      <c r="L3" s="459" t="e">
        <f>'ЗНАЧЕНИЕ ЦЕЛЕВЫХ ПОКАЗАТЕЛЕЙ'!#REF!</f>
        <v>#REF!</v>
      </c>
      <c r="M3" s="459" t="e">
        <f>'ЗНАЧЕНИЕ ЦЕЛЕВЫХ ПОКАЗАТЕЛЕЙ'!#REF!</f>
        <v>#REF!</v>
      </c>
      <c r="N3" s="459" t="e">
        <f>'ЗНАЧЕНИЕ ЦЕЛЕВЫХ ПОКАЗАТЕЛЕЙ'!#REF!</f>
        <v>#REF!</v>
      </c>
      <c r="O3" s="222"/>
      <c r="P3" s="222"/>
      <c r="Q3" s="222"/>
      <c r="R3" s="222"/>
      <c r="S3" s="222"/>
    </row>
    <row r="4" spans="1:14" ht="90.75" customHeight="1">
      <c r="A4" s="217" t="str">
        <f>'расчет показат'!B59</f>
        <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v>
      </c>
      <c r="B4" s="452" t="e">
        <f>'ЗНАЧЕНИЕ ЦЕЛЕВЫХ ПОКАЗАТЕЛЕЙ'!#REF!</f>
        <v>#REF!</v>
      </c>
      <c r="C4" s="452" t="e">
        <f>'ЗНАЧЕНИЕ ЦЕЛЕВЫХ ПОКАЗАТЕЛЕЙ'!#REF!</f>
        <v>#REF!</v>
      </c>
      <c r="D4" s="452" t="e">
        <f>'ЗНАЧЕНИЕ ЦЕЛЕВЫХ ПОКАЗАТЕЛЕЙ'!#REF!</f>
        <v>#REF!</v>
      </c>
      <c r="E4" s="430" t="e">
        <f>'ЗНАЧЕНИЕ ЦЕЛЕВЫХ ПОКАЗАТЕЛЕЙ'!#REF!</f>
        <v>#REF!</v>
      </c>
      <c r="F4" s="430" t="e">
        <f>'ЗНАЧЕНИЕ ЦЕЛЕВЫХ ПОКАЗАТЕЛЕЙ'!#REF!</f>
        <v>#REF!</v>
      </c>
      <c r="G4" s="430" t="e">
        <f>'ЗНАЧЕНИЕ ЦЕЛЕВЫХ ПОКАЗАТЕЛЕЙ'!#REF!</f>
        <v>#REF!</v>
      </c>
      <c r="H4" s="430" t="e">
        <f>'ЗНАЧЕНИЕ ЦЕЛЕВЫХ ПОКАЗАТЕЛЕЙ'!#REF!</f>
        <v>#REF!</v>
      </c>
      <c r="I4" s="430" t="e">
        <f>'ЗНАЧЕНИЕ ЦЕЛЕВЫХ ПОКАЗАТЕЛЕЙ'!#REF!</f>
        <v>#REF!</v>
      </c>
      <c r="J4" s="430" t="e">
        <f>'ЗНАЧЕНИЕ ЦЕЛЕВЫХ ПОКАЗАТЕЛЕЙ'!#REF!</f>
        <v>#REF!</v>
      </c>
      <c r="K4" s="430" t="e">
        <f>'ЗНАЧЕНИЕ ЦЕЛЕВЫХ ПОКАЗАТЕЛЕЙ'!#REF!</f>
        <v>#REF!</v>
      </c>
      <c r="L4" s="430" t="e">
        <f>'ЗНАЧЕНИЕ ЦЕЛЕВЫХ ПОКАЗАТЕЛЕЙ'!#REF!</f>
        <v>#REF!</v>
      </c>
      <c r="M4" s="430" t="e">
        <f>'ЗНАЧЕНИЕ ЦЕЛЕВЫХ ПОКАЗАТЕЛЕЙ'!#REF!</f>
        <v>#REF!</v>
      </c>
      <c r="N4" s="430" t="e">
        <f>'ЗНАЧЕНИЕ ЦЕЛЕВЫХ ПОКАЗАТЕЛЕЙ'!#REF!</f>
        <v>#REF!</v>
      </c>
    </row>
    <row r="5" spans="1:14" ht="12.75">
      <c r="A5" s="425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89.25">
      <c r="A6" s="217" t="str">
        <f>'расчет показат'!B61</f>
        <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v>
      </c>
      <c r="B6" s="430" t="e">
        <f>'ЗНАЧЕНИЕ ЦЕЛЕВЫХ ПОКАЗАТЕЛЕЙ'!#REF!</f>
        <v>#REF!</v>
      </c>
      <c r="C6" s="430" t="e">
        <f>'ЗНАЧЕНИЕ ЦЕЛЕВЫХ ПОКАЗАТЕЛЕЙ'!#REF!</f>
        <v>#REF!</v>
      </c>
      <c r="D6" s="430" t="e">
        <f>'ЗНАЧЕНИЕ ЦЕЛЕВЫХ ПОКАЗАТЕЛЕЙ'!#REF!</f>
        <v>#REF!</v>
      </c>
      <c r="E6" s="430" t="e">
        <f>'ЗНАЧЕНИЕ ЦЕЛЕВЫХ ПОКАЗАТЕЛЕЙ'!#REF!</f>
        <v>#REF!</v>
      </c>
      <c r="F6" s="430" t="e">
        <f>'ЗНАЧЕНИЕ ЦЕЛЕВЫХ ПОКАЗАТЕЛЕЙ'!#REF!</f>
        <v>#REF!</v>
      </c>
      <c r="G6" s="430" t="e">
        <f>'ЗНАЧЕНИЕ ЦЕЛЕВЫХ ПОКАЗАТЕЛЕЙ'!#REF!</f>
        <v>#REF!</v>
      </c>
      <c r="H6" s="430" t="e">
        <f>'ЗНАЧЕНИЕ ЦЕЛЕВЫХ ПОКАЗАТЕЛЕЙ'!#REF!</f>
        <v>#REF!</v>
      </c>
      <c r="I6" s="430" t="e">
        <f>'ЗНАЧЕНИЕ ЦЕЛЕВЫХ ПОКАЗАТЕЛЕЙ'!#REF!</f>
        <v>#REF!</v>
      </c>
      <c r="J6" s="430" t="e">
        <f>'ЗНАЧЕНИЕ ЦЕЛЕВЫХ ПОКАЗАТЕЛЕЙ'!#REF!</f>
        <v>#REF!</v>
      </c>
      <c r="K6" s="430" t="e">
        <f>'ЗНАЧЕНИЕ ЦЕЛЕВЫХ ПОКАЗАТЕЛЕЙ'!#REF!</f>
        <v>#REF!</v>
      </c>
      <c r="L6" s="430" t="e">
        <f>'ЗНАЧЕНИЕ ЦЕЛЕВЫХ ПОКАЗАТЕЛЕЙ'!#REF!</f>
        <v>#REF!</v>
      </c>
      <c r="M6" s="430" t="e">
        <f>'ЗНАЧЕНИЕ ЦЕЛЕВЫХ ПОКАЗАТЕЛЕЙ'!#REF!</f>
        <v>#REF!</v>
      </c>
      <c r="N6" s="430" t="e">
        <f>'ЗНАЧЕНИЕ ЦЕЛЕВЫХ ПОКАЗАТЕЛЕЙ'!#REF!</f>
        <v>#REF!</v>
      </c>
    </row>
    <row r="7" spans="1:14" ht="89.25">
      <c r="A7" s="217" t="str">
        <f>'расчет показат'!B62</f>
        <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v>
      </c>
      <c r="B7" s="452" t="e">
        <f>'ЗНАЧЕНИЕ ЦЕЛЕВЫХ ПОКАЗАТЕЛЕЙ'!#REF!</f>
        <v>#REF!</v>
      </c>
      <c r="C7" s="452" t="e">
        <f>'ЗНАЧЕНИЕ ЦЕЛЕВЫХ ПОКАЗАТЕЛЕЙ'!#REF!</f>
        <v>#REF!</v>
      </c>
      <c r="D7" s="452" t="e">
        <f>'ЗНАЧЕНИЕ ЦЕЛЕВЫХ ПОКАЗАТЕЛЕЙ'!#REF!</f>
        <v>#REF!</v>
      </c>
      <c r="E7" s="452" t="e">
        <f>'ЗНАЧЕНИЕ ЦЕЛЕВЫХ ПОКАЗАТЕЛЕЙ'!#REF!</f>
        <v>#REF!</v>
      </c>
      <c r="F7" s="452" t="e">
        <f>'ЗНАЧЕНИЕ ЦЕЛЕВЫХ ПОКАЗАТЕЛЕЙ'!#REF!</f>
        <v>#REF!</v>
      </c>
      <c r="G7" s="452" t="e">
        <f>'ЗНАЧЕНИЕ ЦЕЛЕВЫХ ПОКАЗАТЕЛЕЙ'!#REF!</f>
        <v>#REF!</v>
      </c>
      <c r="H7" s="452" t="e">
        <f>'ЗНАЧЕНИЕ ЦЕЛЕВЫХ ПОКАЗАТЕЛЕЙ'!#REF!</f>
        <v>#REF!</v>
      </c>
      <c r="I7" s="452" t="e">
        <f>'ЗНАЧЕНИЕ ЦЕЛЕВЫХ ПОКАЗАТЕЛЕЙ'!#REF!</f>
        <v>#REF!</v>
      </c>
      <c r="J7" s="452" t="e">
        <f>'ЗНАЧЕНИЕ ЦЕЛЕВЫХ ПОКАЗАТЕЛЕЙ'!#REF!</f>
        <v>#REF!</v>
      </c>
      <c r="K7" s="452" t="e">
        <f>'ЗНАЧЕНИЕ ЦЕЛЕВЫХ ПОКАЗАТЕЛЕЙ'!#REF!</f>
        <v>#REF!</v>
      </c>
      <c r="L7" s="452" t="e">
        <f>'ЗНАЧЕНИЕ ЦЕЛЕВЫХ ПОКАЗАТЕЛЕЙ'!#REF!</f>
        <v>#REF!</v>
      </c>
      <c r="M7" s="452" t="e">
        <f>'ЗНАЧЕНИЕ ЦЕЛЕВЫХ ПОКАЗАТЕЛЕЙ'!#REF!</f>
        <v>#REF!</v>
      </c>
      <c r="N7" s="452" t="e">
        <f>'ЗНАЧЕНИЕ ЦЕЛЕВЫХ ПОКАЗАТЕЛЕЙ'!#REF!</f>
        <v>#REF!</v>
      </c>
    </row>
    <row r="8" spans="1:14" ht="12.75">
      <c r="A8" s="425"/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</row>
    <row r="9" spans="1:14" ht="102">
      <c r="A9" s="217" t="str">
        <f>'расчет показат'!B63</f>
        <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v>
      </c>
      <c r="B9" s="452" t="e">
        <f>'ЗНАЧЕНИЕ ЦЕЛЕВЫХ ПОКАЗАТЕЛЕЙ'!#REF!</f>
        <v>#REF!</v>
      </c>
      <c r="C9" s="452" t="e">
        <f>'ЗНАЧЕНИЕ ЦЕЛЕВЫХ ПОКАЗАТЕЛЕЙ'!#REF!</f>
        <v>#REF!</v>
      </c>
      <c r="D9" s="452" t="e">
        <f>'ЗНАЧЕНИЕ ЦЕЛЕВЫХ ПОКАЗАТЕЛЕЙ'!#REF!</f>
        <v>#REF!</v>
      </c>
      <c r="E9" s="452" t="e">
        <f>'ЗНАЧЕНИЕ ЦЕЛЕВЫХ ПОКАЗАТЕЛЕЙ'!#REF!</f>
        <v>#REF!</v>
      </c>
      <c r="F9" s="452" t="e">
        <f>'ЗНАЧЕНИЕ ЦЕЛЕВЫХ ПОКАЗАТЕЛЕЙ'!#REF!</f>
        <v>#REF!</v>
      </c>
      <c r="G9" s="452" t="e">
        <f>'ЗНАЧЕНИЕ ЦЕЛЕВЫХ ПОКАЗАТЕЛЕЙ'!#REF!</f>
        <v>#REF!</v>
      </c>
      <c r="H9" s="452" t="e">
        <f>'ЗНАЧЕНИЕ ЦЕЛЕВЫХ ПОКАЗАТЕЛЕЙ'!#REF!</f>
        <v>#REF!</v>
      </c>
      <c r="I9" s="452" t="e">
        <f>'ЗНАЧЕНИЕ ЦЕЛЕВЫХ ПОКАЗАТЕЛЕЙ'!#REF!</f>
        <v>#REF!</v>
      </c>
      <c r="J9" s="452" t="e">
        <f>'ЗНАЧЕНИЕ ЦЕЛЕВЫХ ПОКАЗАТЕЛЕЙ'!#REF!</f>
        <v>#REF!</v>
      </c>
      <c r="K9" s="452" t="e">
        <f>'ЗНАЧЕНИЕ ЦЕЛЕВЫХ ПОКАЗАТЕЛЕЙ'!#REF!</f>
        <v>#REF!</v>
      </c>
      <c r="L9" s="452" t="e">
        <f>'ЗНАЧЕНИЕ ЦЕЛЕВЫХ ПОКАЗАТЕЛЕЙ'!#REF!</f>
        <v>#REF!</v>
      </c>
      <c r="M9" s="452" t="e">
        <f>'ЗНАЧЕНИЕ ЦЕЛЕВЫХ ПОКАЗАТЕЛЕЙ'!#REF!</f>
        <v>#REF!</v>
      </c>
      <c r="N9" s="452" t="e">
        <f>'ЗНАЧЕНИЕ ЦЕЛЕВЫХ ПОКАЗАТЕЛЕЙ'!#REF!</f>
        <v>#REF!</v>
      </c>
    </row>
    <row r="10" spans="1:14" ht="102.75" customHeight="1">
      <c r="A10" s="217" t="str">
        <f>'расчет показат'!B64</f>
        <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v>
      </c>
      <c r="B10" s="452" t="e">
        <f>'ЗНАЧЕНИЕ ЦЕЛЕВЫХ ПОКАЗАТЕЛЕЙ'!#REF!</f>
        <v>#REF!</v>
      </c>
      <c r="C10" s="452" t="e">
        <f>'ЗНАЧЕНИЕ ЦЕЛЕВЫХ ПОКАЗАТЕЛЕЙ'!#REF!</f>
        <v>#REF!</v>
      </c>
      <c r="D10" s="452" t="e">
        <f>'ЗНАЧЕНИЕ ЦЕЛЕВЫХ ПОКАЗАТЕЛЕЙ'!#REF!</f>
        <v>#REF!</v>
      </c>
      <c r="E10" s="452" t="e">
        <f>'ЗНАЧЕНИЕ ЦЕЛЕВЫХ ПОКАЗАТЕЛЕЙ'!#REF!</f>
        <v>#REF!</v>
      </c>
      <c r="F10" s="452" t="e">
        <f>'ЗНАЧЕНИЕ ЦЕЛЕВЫХ ПОКАЗАТЕЛЕЙ'!#REF!</f>
        <v>#REF!</v>
      </c>
      <c r="G10" s="430" t="e">
        <f>'ЗНАЧЕНИЕ ЦЕЛЕВЫХ ПОКАЗАТЕЛЕЙ'!#REF!</f>
        <v>#REF!</v>
      </c>
      <c r="H10" s="430" t="e">
        <f>'ЗНАЧЕНИЕ ЦЕЛЕВЫХ ПОКАЗАТЕЛЕЙ'!#REF!</f>
        <v>#REF!</v>
      </c>
      <c r="I10" s="430" t="e">
        <f>'ЗНАЧЕНИЕ ЦЕЛЕВЫХ ПОКАЗАТЕЛЕЙ'!#REF!</f>
        <v>#REF!</v>
      </c>
      <c r="J10" s="430" t="e">
        <f>'ЗНАЧЕНИЕ ЦЕЛЕВЫХ ПОКАЗАТЕЛЕЙ'!#REF!</f>
        <v>#REF!</v>
      </c>
      <c r="K10" s="430" t="e">
        <f>'ЗНАЧЕНИЕ ЦЕЛЕВЫХ ПОКАЗАТЕЛЕЙ'!#REF!</f>
        <v>#REF!</v>
      </c>
      <c r="L10" s="430" t="e">
        <f>'ЗНАЧЕНИЕ ЦЕЛЕВЫХ ПОКАЗАТЕЛЕЙ'!#REF!</f>
        <v>#REF!</v>
      </c>
      <c r="M10" s="430" t="e">
        <f>'ЗНАЧЕНИЕ ЦЕЛЕВЫХ ПОКАЗАТЕЛЕЙ'!#REF!</f>
        <v>#REF!</v>
      </c>
      <c r="N10" s="430" t="e">
        <f>'ЗНАЧЕНИЕ ЦЕЛЕВЫХ ПОКАЗАТЕЛЕЙ'!#REF!</f>
        <v>#REF!</v>
      </c>
    </row>
    <row r="11" spans="1:14" ht="12.75">
      <c r="A11" s="425"/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</row>
    <row r="12" spans="1:14" ht="126.75" customHeight="1">
      <c r="A12" s="217" t="str">
        <f>'расчет показат'!B66</f>
        <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v>
      </c>
      <c r="B12" s="452" t="e">
        <f>'ЗНАЧЕНИЕ ЦЕЛЕВЫХ ПОКАЗАТЕЛЕЙ'!#REF!</f>
        <v>#REF!</v>
      </c>
      <c r="C12" s="452" t="e">
        <f>'ЗНАЧЕНИЕ ЦЕЛЕВЫХ ПОКАЗАТЕЛЕЙ'!#REF!</f>
        <v>#REF!</v>
      </c>
      <c r="D12" s="452" t="e">
        <f>'ЗНАЧЕНИЕ ЦЕЛЕВЫХ ПОКАЗАТЕЛЕЙ'!#REF!</f>
        <v>#REF!</v>
      </c>
      <c r="E12" s="452" t="e">
        <f>'ЗНАЧЕНИЕ ЦЕЛЕВЫХ ПОКАЗАТЕЛЕЙ'!#REF!</f>
        <v>#REF!</v>
      </c>
      <c r="F12" s="452" t="e">
        <f>'ЗНАЧЕНИЕ ЦЕЛЕВЫХ ПОКАЗАТЕЛЕЙ'!#REF!</f>
        <v>#REF!</v>
      </c>
      <c r="G12" s="452" t="e">
        <f>'ЗНАЧЕНИЕ ЦЕЛЕВЫХ ПОКАЗАТЕЛЕЙ'!#REF!</f>
        <v>#REF!</v>
      </c>
      <c r="H12" s="452" t="e">
        <f>'ЗНАЧЕНИЕ ЦЕЛЕВЫХ ПОКАЗАТЕЛЕЙ'!#REF!</f>
        <v>#REF!</v>
      </c>
      <c r="I12" s="452" t="e">
        <f>'ЗНАЧЕНИЕ ЦЕЛЕВЫХ ПОКАЗАТЕЛЕЙ'!#REF!</f>
        <v>#REF!</v>
      </c>
      <c r="J12" s="452" t="e">
        <f>'ЗНАЧЕНИЕ ЦЕЛЕВЫХ ПОКАЗАТЕЛЕЙ'!#REF!</f>
        <v>#REF!</v>
      </c>
      <c r="K12" s="452" t="e">
        <f>'ЗНАЧЕНИЕ ЦЕЛЕВЫХ ПОКАЗАТЕЛЕЙ'!#REF!</f>
        <v>#REF!</v>
      </c>
      <c r="L12" s="452" t="e">
        <f>'ЗНАЧЕНИЕ ЦЕЛЕВЫХ ПОКАЗАТЕЛЕЙ'!#REF!</f>
        <v>#REF!</v>
      </c>
      <c r="M12" s="452" t="e">
        <f>'ЗНАЧЕНИЕ ЦЕЛЕВЫХ ПОКАЗАТЕЛЕЙ'!#REF!</f>
        <v>#REF!</v>
      </c>
      <c r="N12" s="452" t="e">
        <f>'ЗНАЧЕНИЕ ЦЕЛЕВЫХ ПОКАЗАТЕЛЕЙ'!#REF!</f>
        <v>#REF!</v>
      </c>
    </row>
    <row r="13" spans="1:14" ht="127.5">
      <c r="A13" s="217" t="str">
        <f>'расчет показат'!B67</f>
        <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v>
      </c>
      <c r="B13" s="452" t="e">
        <f>'ЗНАЧЕНИЕ ЦЕЛЕВЫХ ПОКАЗАТЕЛЕЙ'!#REF!</f>
        <v>#REF!</v>
      </c>
      <c r="C13" s="452" t="e">
        <f>'ЗНАЧЕНИЕ ЦЕЛЕВЫХ ПОКАЗАТЕЛЕЙ'!#REF!</f>
        <v>#REF!</v>
      </c>
      <c r="D13" s="452" t="e">
        <f>'ЗНАЧЕНИЕ ЦЕЛЕВЫХ ПОКАЗАТЕЛЕЙ'!#REF!</f>
        <v>#REF!</v>
      </c>
      <c r="E13" s="452" t="e">
        <f>'ЗНАЧЕНИЕ ЦЕЛЕВЫХ ПОКАЗАТЕЛЕЙ'!#REF!</f>
        <v>#REF!</v>
      </c>
      <c r="F13" s="452" t="e">
        <f>'ЗНАЧЕНИЕ ЦЕЛЕВЫХ ПОКАЗАТЕЛЕЙ'!#REF!</f>
        <v>#REF!</v>
      </c>
      <c r="G13" s="452" t="e">
        <f>'ЗНАЧЕНИЕ ЦЕЛЕВЫХ ПОКАЗАТЕЛЕЙ'!#REF!</f>
        <v>#REF!</v>
      </c>
      <c r="H13" s="452" t="e">
        <f>'ЗНАЧЕНИЕ ЦЕЛЕВЫХ ПОКАЗАТЕЛЕЙ'!#REF!</f>
        <v>#REF!</v>
      </c>
      <c r="I13" s="452" t="e">
        <f>'ЗНАЧЕНИЕ ЦЕЛЕВЫХ ПОКАЗАТЕЛЕЙ'!#REF!</f>
        <v>#REF!</v>
      </c>
      <c r="J13" s="452" t="e">
        <f>'ЗНАЧЕНИЕ ЦЕЛЕВЫХ ПОКАЗАТЕЛЕЙ'!#REF!</f>
        <v>#REF!</v>
      </c>
      <c r="K13" s="452" t="e">
        <f>'ЗНАЧЕНИЕ ЦЕЛЕВЫХ ПОКАЗАТЕЛЕЙ'!#REF!</f>
        <v>#REF!</v>
      </c>
      <c r="L13" s="452" t="e">
        <f>'ЗНАЧЕНИЕ ЦЕЛЕВЫХ ПОКАЗАТЕЛЕЙ'!#REF!</f>
        <v>#REF!</v>
      </c>
      <c r="M13" s="452" t="e">
        <f>'ЗНАЧЕНИЕ ЦЕЛЕВЫХ ПОКАЗАТЕЛЕЙ'!#REF!</f>
        <v>#REF!</v>
      </c>
      <c r="N13" s="452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9" ht="33" customHeight="1" thickBot="1">
      <c r="A1" s="502" t="s">
        <v>88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500"/>
      <c r="P1" s="500"/>
      <c r="Q1" s="500"/>
      <c r="R1" s="500"/>
      <c r="S1" s="501"/>
    </row>
    <row r="2" spans="1:14" ht="12.75">
      <c r="A2" s="215" t="s">
        <v>408</v>
      </c>
      <c r="B2" s="451">
        <f>'расчет показат'!E4</f>
        <v>2007</v>
      </c>
      <c r="C2" s="451">
        <f>'расчет показат'!F4</f>
        <v>2008</v>
      </c>
      <c r="D2" s="451">
        <f>'расчет показат'!G4</f>
        <v>2009</v>
      </c>
      <c r="E2" s="451">
        <f>'расчет показат'!H4</f>
        <v>2010</v>
      </c>
      <c r="F2" s="451">
        <f>'расчет показат'!I4</f>
        <v>2011</v>
      </c>
      <c r="G2" s="451">
        <f>'расчет показат'!J4</f>
        <v>2012</v>
      </c>
      <c r="H2" s="451">
        <f>'расчет показат'!K4</f>
        <v>2013</v>
      </c>
      <c r="I2" s="451">
        <f>'расчет показат'!L4</f>
        <v>2014</v>
      </c>
      <c r="J2" s="451">
        <f>'расчет показат'!M4</f>
        <v>2015</v>
      </c>
      <c r="K2" s="451">
        <f>'расчет показат'!N4</f>
        <v>2016</v>
      </c>
      <c r="L2" s="451">
        <f>'расчет показат'!O4</f>
        <v>2017</v>
      </c>
      <c r="M2" s="451">
        <f>'расчет показат'!P4</f>
        <v>2018</v>
      </c>
      <c r="N2" s="451">
        <f>'расчет показат'!Q4</f>
        <v>2019</v>
      </c>
    </row>
    <row r="3" spans="1:14" ht="89.25" customHeight="1">
      <c r="A3" s="217" t="str">
        <f>'расчет показат'!B40</f>
        <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v>
      </c>
      <c r="B3" s="458" t="e">
        <f>'ЗНАЧЕНИЕ ЦЕЛЕВЫХ ПОКАЗАТЕЛЕЙ'!#REF!</f>
        <v>#REF!</v>
      </c>
      <c r="C3" s="458" t="e">
        <f>'ЗНАЧЕНИЕ ЦЕЛЕВЫХ ПОКАЗАТЕЛЕЙ'!#REF!</f>
        <v>#REF!</v>
      </c>
      <c r="D3" s="458" t="e">
        <f>'ЗНАЧЕНИЕ ЦЕЛЕВЫХ ПОКАЗАТЕЛЕЙ'!#REF!</f>
        <v>#REF!</v>
      </c>
      <c r="E3" s="458" t="e">
        <f>'ЗНАЧЕНИЕ ЦЕЛЕВЫХ ПОКАЗАТЕЛЕЙ'!#REF!</f>
        <v>#REF!</v>
      </c>
      <c r="F3" s="458" t="e">
        <f>'ЗНАЧЕНИЕ ЦЕЛЕВЫХ ПОКАЗАТЕЛЕЙ'!#REF!</f>
        <v>#REF!</v>
      </c>
      <c r="G3" s="458" t="e">
        <f>'ЗНАЧЕНИЕ ЦЕЛЕВЫХ ПОКАЗАТЕЛЕЙ'!#REF!</f>
        <v>#REF!</v>
      </c>
      <c r="H3" s="458" t="e">
        <f>'ЗНАЧЕНИЕ ЦЕЛЕВЫХ ПОКАЗАТЕЛЕЙ'!#REF!</f>
        <v>#REF!</v>
      </c>
      <c r="I3" s="458" t="e">
        <f>'ЗНАЧЕНИЕ ЦЕЛЕВЫХ ПОКАЗАТЕЛЕЙ'!#REF!</f>
        <v>#REF!</v>
      </c>
      <c r="J3" s="458" t="e">
        <f>'ЗНАЧЕНИЕ ЦЕЛЕВЫХ ПОКАЗАТЕЛЕЙ'!#REF!</f>
        <v>#REF!</v>
      </c>
      <c r="K3" s="458" t="e">
        <f>'ЗНАЧЕНИЕ ЦЕЛЕВЫХ ПОКАЗАТЕЛЕЙ'!#REF!</f>
        <v>#REF!</v>
      </c>
      <c r="L3" s="458" t="e">
        <f>'ЗНАЧЕНИЕ ЦЕЛЕВЫХ ПОКАЗАТЕЛЕЙ'!#REF!</f>
        <v>#REF!</v>
      </c>
      <c r="M3" s="458" t="e">
        <f>'ЗНАЧЕНИЕ ЦЕЛЕВЫХ ПОКАЗАТЕЛЕЙ'!#REF!</f>
        <v>#REF!</v>
      </c>
      <c r="N3" s="458" t="e">
        <f>'ЗНАЧЕНИЕ ЦЕЛЕВЫХ ПОКАЗАТЕЛЕЙ'!#REF!</f>
        <v>#REF!</v>
      </c>
    </row>
    <row r="4" spans="1:14" ht="89.25" customHeight="1">
      <c r="A4" s="217" t="str">
        <f>'расчет показат'!B41</f>
        <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v>
      </c>
      <c r="B4" s="458" t="e">
        <f>'ЗНАЧЕНИЕ ЦЕЛЕВЫХ ПОКАЗАТЕЛЕЙ'!#REF!</f>
        <v>#REF!</v>
      </c>
      <c r="C4" s="458" t="e">
        <f>'ЗНАЧЕНИЕ ЦЕЛЕВЫХ ПОКАЗАТЕЛЕЙ'!#REF!</f>
        <v>#REF!</v>
      </c>
      <c r="D4" s="458" t="e">
        <f>'ЗНАЧЕНИЕ ЦЕЛЕВЫХ ПОКАЗАТЕЛЕЙ'!#REF!</f>
        <v>#REF!</v>
      </c>
      <c r="E4" s="458" t="e">
        <f>'ЗНАЧЕНИЕ ЦЕЛЕВЫХ ПОКАЗАТЕЛЕЙ'!#REF!</f>
        <v>#REF!</v>
      </c>
      <c r="F4" s="458" t="e">
        <f>'ЗНАЧЕНИЕ ЦЕЛЕВЫХ ПОКАЗАТЕЛЕЙ'!#REF!</f>
        <v>#REF!</v>
      </c>
      <c r="G4" s="458" t="e">
        <f>'ЗНАЧЕНИЕ ЦЕЛЕВЫХ ПОКАЗАТЕЛЕЙ'!#REF!</f>
        <v>#REF!</v>
      </c>
      <c r="H4" s="458" t="e">
        <f>'ЗНАЧЕНИЕ ЦЕЛЕВЫХ ПОКАЗАТЕЛЕЙ'!#REF!</f>
        <v>#REF!</v>
      </c>
      <c r="I4" s="458" t="e">
        <f>'ЗНАЧЕНИЕ ЦЕЛЕВЫХ ПОКАЗАТЕЛЕЙ'!#REF!</f>
        <v>#REF!</v>
      </c>
      <c r="J4" s="458" t="e">
        <f>'ЗНАЧЕНИЕ ЦЕЛЕВЫХ ПОКАЗАТЕЛЕЙ'!#REF!</f>
        <v>#REF!</v>
      </c>
      <c r="K4" s="458" t="e">
        <f>'ЗНАЧЕНИЕ ЦЕЛЕВЫХ ПОКАЗАТЕЛЕЙ'!#REF!</f>
        <v>#REF!</v>
      </c>
      <c r="L4" s="458" t="e">
        <f>'ЗНАЧЕНИЕ ЦЕЛЕВЫХ ПОКАЗАТЕЛЕЙ'!#REF!</f>
        <v>#REF!</v>
      </c>
      <c r="M4" s="458" t="e">
        <f>'ЗНАЧЕНИЕ ЦЕЛЕВЫХ ПОКАЗАТЕЛЕЙ'!#REF!</f>
        <v>#REF!</v>
      </c>
      <c r="N4" s="458" t="e">
        <f>'ЗНАЧЕНИЕ ЦЕЛЕВЫХ ПОКАЗАТЕЛЕЙ'!#REF!</f>
        <v>#REF!</v>
      </c>
    </row>
    <row r="5" spans="1:14" ht="87" customHeight="1">
      <c r="A5" s="217" t="str">
        <f>'расчет показат'!B42</f>
        <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v>
      </c>
      <c r="B5" s="458" t="e">
        <f>'ЗНАЧЕНИЕ ЦЕЛЕВЫХ ПОКАЗАТЕЛЕЙ'!#REF!</f>
        <v>#REF!</v>
      </c>
      <c r="C5" s="458" t="e">
        <f>'ЗНАЧЕНИЕ ЦЕЛЕВЫХ ПОКАЗАТЕЛЕЙ'!#REF!</f>
        <v>#REF!</v>
      </c>
      <c r="D5" s="458" t="e">
        <f>'ЗНАЧЕНИЕ ЦЕЛЕВЫХ ПОКАЗАТЕЛЕЙ'!#REF!</f>
        <v>#REF!</v>
      </c>
      <c r="E5" s="458" t="e">
        <f>'ЗНАЧЕНИЕ ЦЕЛЕВЫХ ПОКАЗАТЕЛЕЙ'!#REF!</f>
        <v>#REF!</v>
      </c>
      <c r="F5" s="458" t="e">
        <f>'ЗНАЧЕНИЕ ЦЕЛЕВЫХ ПОКАЗАТЕЛЕЙ'!#REF!</f>
        <v>#REF!</v>
      </c>
      <c r="G5" s="458" t="e">
        <f>'ЗНАЧЕНИЕ ЦЕЛЕВЫХ ПОКАЗАТЕЛЕЙ'!#REF!</f>
        <v>#REF!</v>
      </c>
      <c r="H5" s="458" t="e">
        <f>'ЗНАЧЕНИЕ ЦЕЛЕВЫХ ПОКАЗАТЕЛЕЙ'!#REF!</f>
        <v>#REF!</v>
      </c>
      <c r="I5" s="458" t="e">
        <f>'ЗНАЧЕНИЕ ЦЕЛЕВЫХ ПОКАЗАТЕЛЕЙ'!#REF!</f>
        <v>#REF!</v>
      </c>
      <c r="J5" s="458" t="e">
        <f>'ЗНАЧЕНИЕ ЦЕЛЕВЫХ ПОКАЗАТЕЛЕЙ'!#REF!</f>
        <v>#REF!</v>
      </c>
      <c r="K5" s="458" t="e">
        <f>'ЗНАЧЕНИЕ ЦЕЛЕВЫХ ПОКАЗАТЕЛЕЙ'!#REF!</f>
        <v>#REF!</v>
      </c>
      <c r="L5" s="458" t="e">
        <f>'ЗНАЧЕНИЕ ЦЕЛЕВЫХ ПОКАЗАТЕЛЕЙ'!#REF!</f>
        <v>#REF!</v>
      </c>
      <c r="M5" s="458" t="e">
        <f>'ЗНАЧЕНИЕ ЦЕЛЕВЫХ ПОКАЗАТЕЛЕЙ'!#REF!</f>
        <v>#REF!</v>
      </c>
      <c r="N5" s="458" t="e">
        <f>'ЗНАЧЕНИЕ ЦЕЛЕВЫХ ПОКАЗАТЕЛЕЙ'!#REF!</f>
        <v>#REF!</v>
      </c>
    </row>
    <row r="6" spans="1:14" ht="114.75">
      <c r="A6" s="217" t="str">
        <f>'расчет показат'!B43</f>
        <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v>
      </c>
      <c r="B6" s="458" t="e">
        <f>'ЗНАЧЕНИЕ ЦЕЛЕВЫХ ПОКАЗАТЕЛЕЙ'!#REF!</f>
        <v>#REF!</v>
      </c>
      <c r="C6" s="458" t="e">
        <f>'ЗНАЧЕНИЕ ЦЕЛЕВЫХ ПОКАЗАТЕЛЕЙ'!#REF!</f>
        <v>#REF!</v>
      </c>
      <c r="D6" s="458" t="e">
        <f>'ЗНАЧЕНИЕ ЦЕЛЕВЫХ ПОКАЗАТЕЛЕЙ'!#REF!</f>
        <v>#REF!</v>
      </c>
      <c r="E6" s="458" t="e">
        <f>'ЗНАЧЕНИЕ ЦЕЛЕВЫХ ПОКАЗАТЕЛЕЙ'!#REF!</f>
        <v>#REF!</v>
      </c>
      <c r="F6" s="458" t="e">
        <f>'ЗНАЧЕНИЕ ЦЕЛЕВЫХ ПОКАЗАТЕЛЕЙ'!#REF!</f>
        <v>#REF!</v>
      </c>
      <c r="G6" s="458" t="e">
        <f>'ЗНАЧЕНИЕ ЦЕЛЕВЫХ ПОКАЗАТЕЛЕЙ'!#REF!</f>
        <v>#REF!</v>
      </c>
      <c r="H6" s="458" t="e">
        <f>'ЗНАЧЕНИЕ ЦЕЛЕВЫХ ПОКАЗАТЕЛЕЙ'!#REF!</f>
        <v>#REF!</v>
      </c>
      <c r="I6" s="458" t="e">
        <f>'ЗНАЧЕНИЕ ЦЕЛЕВЫХ ПОКАЗАТЕЛЕЙ'!#REF!</f>
        <v>#REF!</v>
      </c>
      <c r="J6" s="458" t="e">
        <f>'ЗНАЧЕНИЕ ЦЕЛЕВЫХ ПОКАЗАТЕЛЕЙ'!#REF!</f>
        <v>#REF!</v>
      </c>
      <c r="K6" s="458" t="e">
        <f>'ЗНАЧЕНИЕ ЦЕЛЕВЫХ ПОКАЗАТЕЛЕЙ'!#REF!</f>
        <v>#REF!</v>
      </c>
      <c r="L6" s="458" t="e">
        <f>'ЗНАЧЕНИЕ ЦЕЛЕВЫХ ПОКАЗАТЕЛЕЙ'!#REF!</f>
        <v>#REF!</v>
      </c>
      <c r="M6" s="458" t="e">
        <f>'ЗНАЧЕНИЕ ЦЕЛЕВЫХ ПОКАЗАТЕЛЕЙ'!#REF!</f>
        <v>#REF!</v>
      </c>
      <c r="N6" s="45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33" customHeight="1">
      <c r="A1" s="503" t="str">
        <f>'расчет показат'!A15:S15</f>
        <v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</row>
    <row r="2" spans="1:14" ht="12.75">
      <c r="A2" s="215" t="s">
        <v>408</v>
      </c>
      <c r="B2" s="453">
        <f>'расчет показат'!E4</f>
        <v>2007</v>
      </c>
      <c r="C2" s="453">
        <f>'расчет показат'!F4</f>
        <v>2008</v>
      </c>
      <c r="D2" s="453">
        <f>'расчет показат'!G4</f>
        <v>2009</v>
      </c>
      <c r="E2" s="453">
        <f>'расчет показат'!H4</f>
        <v>2010</v>
      </c>
      <c r="F2" s="453">
        <f>'расчет показат'!I4</f>
        <v>2011</v>
      </c>
      <c r="G2" s="453">
        <f>'расчет показат'!J4</f>
        <v>2012</v>
      </c>
      <c r="H2" s="453">
        <f>'расчет показат'!K4</f>
        <v>2013</v>
      </c>
      <c r="I2" s="453">
        <f>'расчет показат'!L4</f>
        <v>2014</v>
      </c>
      <c r="J2" s="453">
        <f>'расчет показат'!M4</f>
        <v>2015</v>
      </c>
      <c r="K2" s="453">
        <f>'расчет показат'!N4</f>
        <v>2016</v>
      </c>
      <c r="L2" s="453">
        <f>'расчет показат'!O4</f>
        <v>2017</v>
      </c>
      <c r="M2" s="453">
        <f>'расчет показат'!P4</f>
        <v>2018</v>
      </c>
      <c r="N2" s="453">
        <f>'расчет показат'!Q4</f>
        <v>2019</v>
      </c>
    </row>
    <row r="3" spans="1:14" ht="40.5" customHeight="1">
      <c r="A3" s="217" t="s">
        <v>410</v>
      </c>
      <c r="B3" s="454">
        <f>'расчет показат'!E16</f>
        <v>0</v>
      </c>
      <c r="C3" s="454">
        <f>'расчет показат'!F16</f>
        <v>0</v>
      </c>
      <c r="D3" s="454">
        <f>'расчет показат'!G16</f>
        <v>0</v>
      </c>
      <c r="E3" s="455" t="e">
        <f>'ЗНАЧЕНИЕ ЦЕЛЕВЫХ ПОКАЗАТЕЛЕЙ'!#REF!</f>
        <v>#REF!</v>
      </c>
      <c r="F3" s="455" t="e">
        <f>'ЗНАЧЕНИЕ ЦЕЛЕВЫХ ПОКАЗАТЕЛЕЙ'!#REF!</f>
        <v>#REF!</v>
      </c>
      <c r="G3" s="455" t="e">
        <f>'ЗНАЧЕНИЕ ЦЕЛЕВЫХ ПОКАЗАТЕЛЕЙ'!#REF!</f>
        <v>#REF!</v>
      </c>
      <c r="H3" s="455" t="e">
        <f>'ЗНАЧЕНИЕ ЦЕЛЕВЫХ ПОКАЗАТЕЛЕЙ'!#REF!</f>
        <v>#REF!</v>
      </c>
      <c r="I3" s="455" t="e">
        <f>'ЗНАЧЕНИЕ ЦЕЛЕВЫХ ПОКАЗАТЕЛЕЙ'!#REF!</f>
        <v>#REF!</v>
      </c>
      <c r="J3" s="455" t="e">
        <f>'ЗНАЧЕНИЕ ЦЕЛЕВЫХ ПОКАЗАТЕЛЕЙ'!#REF!</f>
        <v>#REF!</v>
      </c>
      <c r="K3" s="455" t="e">
        <f>'ЗНАЧЕНИЕ ЦЕЛЕВЫХ ПОКАЗАТЕЛЕЙ'!#REF!</f>
        <v>#REF!</v>
      </c>
      <c r="L3" s="455" t="e">
        <f>'ЗНАЧЕНИЕ ЦЕЛЕВЫХ ПОКАЗАТЕЛЕЙ'!#REF!</f>
        <v>#REF!</v>
      </c>
      <c r="M3" s="455" t="e">
        <f>'ЗНАЧЕНИЕ ЦЕЛЕВЫХ ПОКАЗАТЕЛЕЙ'!#REF!</f>
        <v>#REF!</v>
      </c>
      <c r="N3" s="455" t="e">
        <f>'ЗНАЧЕНИЕ ЦЕЛЕВЫХ ПОКАЗАТЕЛЕЙ'!#REF!</f>
        <v>#REF!</v>
      </c>
    </row>
    <row r="4" spans="1:14" ht="38.25">
      <c r="A4" s="217" t="s">
        <v>327</v>
      </c>
      <c r="B4" s="454">
        <f>'расчет показат'!E18</f>
        <v>0</v>
      </c>
      <c r="C4" s="454">
        <f>'расчет показат'!F18</f>
        <v>0</v>
      </c>
      <c r="D4" s="454">
        <f>'расчет показат'!G18</f>
        <v>0</v>
      </c>
      <c r="E4" s="455" t="e">
        <f>'ЗНАЧЕНИЕ ЦЕЛЕВЫХ ПОКАЗАТЕЛЕЙ'!#REF!</f>
        <v>#REF!</v>
      </c>
      <c r="F4" s="455" t="e">
        <f>'ЗНАЧЕНИЕ ЦЕЛЕВЫХ ПОКАЗАТЕЛЕЙ'!#REF!</f>
        <v>#REF!</v>
      </c>
      <c r="G4" s="455" t="e">
        <f>'ЗНАЧЕНИЕ ЦЕЛЕВЫХ ПОКАЗАТЕЛЕЙ'!#REF!</f>
        <v>#REF!</v>
      </c>
      <c r="H4" s="455" t="e">
        <f>'ЗНАЧЕНИЕ ЦЕЛЕВЫХ ПОКАЗАТЕЛЕЙ'!#REF!</f>
        <v>#REF!</v>
      </c>
      <c r="I4" s="455" t="e">
        <f>'ЗНАЧЕНИЕ ЦЕЛЕВЫХ ПОКАЗАТЕЛЕЙ'!#REF!</f>
        <v>#REF!</v>
      </c>
      <c r="J4" s="455" t="e">
        <f>'ЗНАЧЕНИЕ ЦЕЛЕВЫХ ПОКАЗАТЕЛЕЙ'!#REF!</f>
        <v>#REF!</v>
      </c>
      <c r="K4" s="455" t="e">
        <f>'ЗНАЧЕНИЕ ЦЕЛЕВЫХ ПОКАЗАТЕЛЕЙ'!#REF!</f>
        <v>#REF!</v>
      </c>
      <c r="L4" s="455" t="e">
        <f>'ЗНАЧЕНИЕ ЦЕЛЕВЫХ ПОКАЗАТЕЛЕЙ'!#REF!</f>
        <v>#REF!</v>
      </c>
      <c r="M4" s="455" t="e">
        <f>'ЗНАЧЕНИЕ ЦЕЛЕВЫХ ПОКАЗАТЕЛЕЙ'!#REF!</f>
        <v>#REF!</v>
      </c>
      <c r="N4" s="455" t="e">
        <f>'ЗНАЧЕНИЕ ЦЕЛЕВЫХ ПОКАЗАТЕЛЕЙ'!#REF!</f>
        <v>#REF!</v>
      </c>
    </row>
    <row r="5" spans="1:14" ht="38.25">
      <c r="A5" s="217" t="s">
        <v>326</v>
      </c>
      <c r="B5" s="454">
        <f>'расчет показат'!E20</f>
        <v>0</v>
      </c>
      <c r="C5" s="454">
        <f>'расчет показат'!F20</f>
        <v>0</v>
      </c>
      <c r="D5" s="454">
        <f>'расчет показат'!G20</f>
        <v>0</v>
      </c>
      <c r="E5" s="455" t="e">
        <f>'ЗНАЧЕНИЕ ЦЕЛЕВЫХ ПОКАЗАТЕЛЕЙ'!#REF!</f>
        <v>#REF!</v>
      </c>
      <c r="F5" s="455" t="e">
        <f>'ЗНАЧЕНИЕ ЦЕЛЕВЫХ ПОКАЗАТЕЛЕЙ'!#REF!</f>
        <v>#REF!</v>
      </c>
      <c r="G5" s="455" t="e">
        <f>'ЗНАЧЕНИЕ ЦЕЛЕВЫХ ПОКАЗАТЕЛЕЙ'!#REF!</f>
        <v>#REF!</v>
      </c>
      <c r="H5" s="455" t="e">
        <f>'ЗНАЧЕНИЕ ЦЕЛЕВЫХ ПОКАЗАТЕЛЕЙ'!#REF!</f>
        <v>#REF!</v>
      </c>
      <c r="I5" s="455" t="e">
        <f>'ЗНАЧЕНИЕ ЦЕЛЕВЫХ ПОКАЗАТЕЛЕЙ'!#REF!</f>
        <v>#REF!</v>
      </c>
      <c r="J5" s="455" t="e">
        <f>'ЗНАЧЕНИЕ ЦЕЛЕВЫХ ПОКАЗАТЕЛЕЙ'!#REF!</f>
        <v>#REF!</v>
      </c>
      <c r="K5" s="455" t="e">
        <f>'ЗНАЧЕНИЕ ЦЕЛЕВЫХ ПОКАЗАТЕЛЕЙ'!#REF!</f>
        <v>#REF!</v>
      </c>
      <c r="L5" s="455" t="e">
        <f>'ЗНАЧЕНИЕ ЦЕЛЕВЫХ ПОКАЗАТЕЛЕЙ'!#REF!</f>
        <v>#REF!</v>
      </c>
      <c r="M5" s="455" t="e">
        <f>'ЗНАЧЕНИЕ ЦЕЛЕВЫХ ПОКАЗАТЕЛЕЙ'!#REF!</f>
        <v>#REF!</v>
      </c>
      <c r="N5" s="455" t="e">
        <f>'ЗНАЧЕНИЕ ЦЕЛЕВЫХ ПОКАЗАТЕЛЕЙ'!#REF!</f>
        <v>#REF!</v>
      </c>
    </row>
    <row r="6" spans="1:14" ht="38.25">
      <c r="A6" s="217" t="s">
        <v>409</v>
      </c>
      <c r="B6" s="454">
        <f>'расчет показат'!E22</f>
        <v>0</v>
      </c>
      <c r="C6" s="454">
        <f>'расчет показат'!F22</f>
        <v>0</v>
      </c>
      <c r="D6" s="454">
        <f>'расчет показат'!G22</f>
        <v>0</v>
      </c>
      <c r="E6" s="454" t="e">
        <f>'ЗНАЧЕНИЕ ЦЕЛЕВЫХ ПОКАЗАТЕЛЕЙ'!#REF!</f>
        <v>#REF!</v>
      </c>
      <c r="F6" s="454" t="e">
        <f>'ЗНАЧЕНИЕ ЦЕЛЕВЫХ ПОКАЗАТЕЛЕЙ'!#REF!</f>
        <v>#REF!</v>
      </c>
      <c r="G6" s="454" t="e">
        <f>'ЗНАЧЕНИЕ ЦЕЛЕВЫХ ПОКАЗАТЕЛЕЙ'!#REF!</f>
        <v>#REF!</v>
      </c>
      <c r="H6" s="454" t="e">
        <f>'ЗНАЧЕНИЕ ЦЕЛЕВЫХ ПОКАЗАТЕЛЕЙ'!#REF!</f>
        <v>#REF!</v>
      </c>
      <c r="I6" s="454" t="e">
        <f>'ЗНАЧЕНИЕ ЦЕЛЕВЫХ ПОКАЗАТЕЛЕЙ'!#REF!</f>
        <v>#REF!</v>
      </c>
      <c r="J6" s="454" t="e">
        <f>'ЗНАЧЕНИЕ ЦЕЛЕВЫХ ПОКАЗАТЕЛЕЙ'!#REF!</f>
        <v>#REF!</v>
      </c>
      <c r="K6" s="454" t="e">
        <f>'ЗНАЧЕНИЕ ЦЕЛЕВЫХ ПОКАЗАТЕЛЕЙ'!#REF!</f>
        <v>#REF!</v>
      </c>
      <c r="L6" s="454" t="e">
        <f>'ЗНАЧЕНИЕ ЦЕЛЕВЫХ ПОКАЗАТЕЛЕЙ'!#REF!</f>
        <v>#REF!</v>
      </c>
      <c r="M6" s="454" t="e">
        <f>'ЗНАЧЕНИЕ ЦЕЛЕВЫХ ПОКАЗАТЕЛЕЙ'!#REF!</f>
        <v>#REF!</v>
      </c>
      <c r="N6" s="454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88">
      <selection activeCell="K31" sqref="K31"/>
    </sheetView>
  </sheetViews>
  <sheetFormatPr defaultColWidth="9.140625" defaultRowHeight="12.75"/>
  <cols>
    <col min="1" max="1" width="61.421875" style="220" customWidth="1"/>
    <col min="2" max="2" width="9.140625" style="220" customWidth="1"/>
    <col min="3" max="3" width="15.140625" style="220" customWidth="1"/>
    <col min="4" max="16384" width="9.140625" style="220" customWidth="1"/>
  </cols>
  <sheetData>
    <row r="1" spans="1:14" ht="15.75">
      <c r="A1" s="219"/>
      <c r="B1" s="456">
        <f>'расчет показат'!E4</f>
        <v>2007</v>
      </c>
      <c r="C1" s="456">
        <f>'расчет показат'!F4</f>
        <v>2008</v>
      </c>
      <c r="D1" s="456">
        <f>'расчет показат'!G4</f>
        <v>2009</v>
      </c>
      <c r="E1" s="456">
        <f>'расчет показат'!H4</f>
        <v>2010</v>
      </c>
      <c r="F1" s="456">
        <f>'расчет показат'!I4</f>
        <v>2011</v>
      </c>
      <c r="G1" s="456">
        <f>'расчет показат'!J4</f>
        <v>2012</v>
      </c>
      <c r="H1" s="456">
        <f>'расчет показат'!K4</f>
        <v>2013</v>
      </c>
      <c r="I1" s="456">
        <f>'расчет показат'!L4</f>
        <v>2014</v>
      </c>
      <c r="J1" s="456">
        <f>'расчет показат'!M4</f>
        <v>2015</v>
      </c>
      <c r="K1" s="456">
        <f>'расчет показат'!N4</f>
        <v>2016</v>
      </c>
      <c r="L1" s="456">
        <f>'расчет показат'!O4</f>
        <v>2017</v>
      </c>
      <c r="M1" s="456">
        <f>'расчет показат'!P4</f>
        <v>2018</v>
      </c>
      <c r="N1" s="456">
        <f>'расчет показат'!Q4</f>
        <v>2019</v>
      </c>
    </row>
    <row r="2" spans="1:14" ht="62.25" customHeight="1">
      <c r="A2" s="221" t="str">
        <f>'расчет показат'!B8</f>
        <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v>
      </c>
      <c r="B2" s="457" t="e">
        <f>'ЗНАЧЕНИЕ ЦЕЛЕВЫХ ПОКАЗАТЕЛЕЙ'!#REF!</f>
        <v>#REF!</v>
      </c>
      <c r="C2" s="457">
        <f>'ЗНАЧЕНИЕ ЦЕЛЕВЫХ ПОКАЗАТЕЛЕЙ'!G11</f>
        <v>18.9</v>
      </c>
      <c r="D2" s="457">
        <f>'ЗНАЧЕНИЕ ЦЕЛЕВЫХ ПОКАЗАТЕЛЕЙ'!H11</f>
        <v>56.5</v>
      </c>
      <c r="E2" s="457" t="e">
        <f>'ЗНАЧЕНИЕ ЦЕЛЕВЫХ ПОКАЗАТЕЛЕЙ'!#REF!</f>
        <v>#REF!</v>
      </c>
      <c r="F2" s="457" t="e">
        <f>'ЗНАЧЕНИЕ ЦЕЛЕВЫХ ПОКАЗАТЕЛЕЙ'!#REF!</f>
        <v>#REF!</v>
      </c>
      <c r="G2" s="457" t="e">
        <f>'ЗНАЧЕНИЕ ЦЕЛЕВЫХ ПОКАЗАТЕЛЕЙ'!#REF!</f>
        <v>#REF!</v>
      </c>
      <c r="H2" s="457" t="e">
        <f>'ЗНАЧЕНИЕ ЦЕЛЕВЫХ ПОКАЗАТЕЛЕЙ'!#REF!</f>
        <v>#REF!</v>
      </c>
      <c r="I2" s="457" t="e">
        <f>'ЗНАЧЕНИЕ ЦЕЛЕВЫХ ПОКАЗАТЕЛЕЙ'!#REF!</f>
        <v>#REF!</v>
      </c>
      <c r="J2" s="457" t="e">
        <f>'ЗНАЧЕНИЕ ЦЕЛЕВЫХ ПОКАЗАТЕЛЕЙ'!#REF!</f>
        <v>#REF!</v>
      </c>
      <c r="K2" s="457" t="e">
        <f>'ЗНАЧЕНИЕ ЦЕЛЕВЫХ ПОКАЗАТЕЛЕЙ'!#REF!</f>
        <v>#REF!</v>
      </c>
      <c r="L2" s="457" t="e">
        <f>'ЗНАЧЕНИЕ ЦЕЛЕВЫХ ПОКАЗАТЕЛЕЙ'!#REF!</f>
        <v>#REF!</v>
      </c>
      <c r="M2" s="457" t="e">
        <f>'ЗНАЧЕНИЕ ЦЕЛЕВЫХ ПОКАЗАТЕЛЕЙ'!#REF!</f>
        <v>#REF!</v>
      </c>
      <c r="N2" s="457" t="e">
        <f>'ЗНАЧЕНИЕ ЦЕЛЕВЫХ ПОКАЗАТЕЛЕЙ'!#REF!</f>
        <v>#REF!</v>
      </c>
    </row>
    <row r="3" spans="1:14" ht="65.25" customHeight="1">
      <c r="A3" s="221" t="str">
        <f>'расчет показат'!B9</f>
        <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v>
      </c>
      <c r="B3" s="457" t="e">
        <f>'ЗНАЧЕНИЕ ЦЕЛЕВЫХ ПОКАЗАТЕЛЕЙ'!#REF!</f>
        <v>#REF!</v>
      </c>
      <c r="C3" s="457">
        <f>'ЗНАЧЕНИЕ ЦЕЛЕВЫХ ПОКАЗАТЕЛЕЙ'!G12</f>
        <v>238.8</v>
      </c>
      <c r="D3" s="457">
        <f>'ЗНАЧЕНИЕ ЦЕЛЕВЫХ ПОКАЗАТЕЛЕЙ'!H12</f>
        <v>1539.95</v>
      </c>
      <c r="E3" s="457" t="e">
        <f>'ЗНАЧЕНИЕ ЦЕЛЕВЫХ ПОКАЗАТЕЛЕЙ'!#REF!</f>
        <v>#REF!</v>
      </c>
      <c r="F3" s="457" t="e">
        <f>'ЗНАЧЕНИЕ ЦЕЛЕВЫХ ПОКАЗАТЕЛЕЙ'!#REF!</f>
        <v>#REF!</v>
      </c>
      <c r="G3" s="457" t="e">
        <f>'ЗНАЧЕНИЕ ЦЕЛЕВЫХ ПОКАЗАТЕЛЕЙ'!#REF!</f>
        <v>#REF!</v>
      </c>
      <c r="H3" s="457" t="e">
        <f>'ЗНАЧЕНИЕ ЦЕЛЕВЫХ ПОКАЗАТЕЛЕЙ'!#REF!</f>
        <v>#REF!</v>
      </c>
      <c r="I3" s="457" t="e">
        <f>'ЗНАЧЕНИЕ ЦЕЛЕВЫХ ПОКАЗАТЕЛЕЙ'!#REF!</f>
        <v>#REF!</v>
      </c>
      <c r="J3" s="457" t="e">
        <f>'ЗНАЧЕНИЕ ЦЕЛЕВЫХ ПОКАЗАТЕЛЕЙ'!#REF!</f>
        <v>#REF!</v>
      </c>
      <c r="K3" s="457" t="e">
        <f>'ЗНАЧЕНИЕ ЦЕЛЕВЫХ ПОКАЗАТЕЛЕЙ'!#REF!</f>
        <v>#REF!</v>
      </c>
      <c r="L3" s="457" t="e">
        <f>'ЗНАЧЕНИЕ ЦЕЛЕВЫХ ПОКАЗАТЕЛЕЙ'!#REF!</f>
        <v>#REF!</v>
      </c>
      <c r="M3" s="457" t="e">
        <f>'ЗНАЧЕНИЕ ЦЕЛЕВЫХ ПОКАЗАТЕЛЕЙ'!#REF!</f>
        <v>#REF!</v>
      </c>
      <c r="N3" s="457" t="e">
        <f>'ЗНАЧЕНИЕ ЦЕЛЕВЫХ ПОКАЗАТЕЛЕЙ'!#REF!</f>
        <v>#REF!</v>
      </c>
    </row>
    <row r="4" spans="1:14" ht="64.5" customHeight="1">
      <c r="A4" s="221" t="str">
        <f>'расчет показат'!B10</f>
        <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v>
      </c>
      <c r="B4" s="457" t="e">
        <f>'ЗНАЧЕНИЕ ЦЕЛЕВЫХ ПОКАЗАТЕЛЕЙ'!#REF!</f>
        <v>#REF!</v>
      </c>
      <c r="C4" s="457">
        <f>'ЗНАЧЕНИЕ ЦЕЛЕВЫХ ПОКАЗАТЕЛЕЙ'!G22</f>
        <v>100</v>
      </c>
      <c r="D4" s="457">
        <f>'ЗНАЧЕНИЕ ЦЕЛЕВЫХ ПОКАЗАТЕЛЕЙ'!H22</f>
        <v>100</v>
      </c>
      <c r="E4" s="457" t="e">
        <f>'ЗНАЧЕНИЕ ЦЕЛЕВЫХ ПОКАЗАТЕЛЕЙ'!#REF!</f>
        <v>#REF!</v>
      </c>
      <c r="F4" s="457" t="e">
        <f>'ЗНАЧЕНИЕ ЦЕЛЕВЫХ ПОКАЗАТЕЛЕЙ'!#REF!</f>
        <v>#REF!</v>
      </c>
      <c r="G4" s="457" t="e">
        <f>'ЗНАЧЕНИЕ ЦЕЛЕВЫХ ПОКАЗАТЕЛЕЙ'!#REF!</f>
        <v>#REF!</v>
      </c>
      <c r="H4" s="457" t="e">
        <f>'ЗНАЧЕНИЕ ЦЕЛЕВЫХ ПОКАЗАТЕЛЕЙ'!#REF!</f>
        <v>#REF!</v>
      </c>
      <c r="I4" s="457" t="e">
        <f>'ЗНАЧЕНИЕ ЦЕЛЕВЫХ ПОКАЗАТЕЛЕЙ'!#REF!</f>
        <v>#REF!</v>
      </c>
      <c r="J4" s="457" t="e">
        <f>'ЗНАЧЕНИЕ ЦЕЛЕВЫХ ПОКАЗАТЕЛЕЙ'!#REF!</f>
        <v>#REF!</v>
      </c>
      <c r="K4" s="457" t="e">
        <f>'ЗНАЧЕНИЕ ЦЕЛЕВЫХ ПОКАЗАТЕЛЕЙ'!#REF!</f>
        <v>#REF!</v>
      </c>
      <c r="L4" s="457" t="e">
        <f>'ЗНАЧЕНИЕ ЦЕЛЕВЫХ ПОКАЗАТЕЛЕЙ'!#REF!</f>
        <v>#REF!</v>
      </c>
      <c r="M4" s="457" t="e">
        <f>'ЗНАЧЕНИЕ ЦЕЛЕВЫХ ПОКАЗАТЕЛЕЙ'!#REF!</f>
        <v>#REF!</v>
      </c>
      <c r="N4" s="457" t="e">
        <f>'ЗНАЧЕНИЕ ЦЕЛЕВЫХ ПОКАЗАТЕЛЕЙ'!#REF!</f>
        <v>#REF!</v>
      </c>
    </row>
    <row r="5" spans="1:14" ht="79.5" customHeight="1">
      <c r="A5" s="221" t="str">
        <f>'расчет показат'!B11</f>
        <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v>
      </c>
      <c r="B5" s="457" t="e">
        <f>'ЗНАЧЕНИЕ ЦЕЛЕВЫХ ПОКАЗАТЕЛЕЙ'!#REF!</f>
        <v>#REF!</v>
      </c>
      <c r="C5" s="457">
        <f>'ЗНАЧЕНИЕ ЦЕЛЕВЫХ ПОКАЗАТЕЛЕЙ'!G23</f>
        <v>0</v>
      </c>
      <c r="D5" s="457">
        <f>'ЗНАЧЕНИЕ ЦЕЛЕВЫХ ПОКАЗАТЕЛЕЙ'!H23</f>
        <v>0</v>
      </c>
      <c r="E5" s="457" t="e">
        <f>'ЗНАЧЕНИЕ ЦЕЛЕВЫХ ПОКАЗАТЕЛЕЙ'!#REF!</f>
        <v>#REF!</v>
      </c>
      <c r="F5" s="457" t="e">
        <f>'ЗНАЧЕНИЕ ЦЕЛЕВЫХ ПОКАЗАТЕЛЕЙ'!#REF!</f>
        <v>#REF!</v>
      </c>
      <c r="G5" s="457" t="e">
        <f>'ЗНАЧЕНИЕ ЦЕЛЕВЫХ ПОКАЗАТЕЛЕЙ'!#REF!</f>
        <v>#REF!</v>
      </c>
      <c r="H5" s="457" t="e">
        <f>'ЗНАЧЕНИЕ ЦЕЛЕВЫХ ПОКАЗАТЕЛЕЙ'!#REF!</f>
        <v>#REF!</v>
      </c>
      <c r="I5" s="457" t="e">
        <f>'ЗНАЧЕНИЕ ЦЕЛЕВЫХ ПОКАЗАТЕЛЕЙ'!#REF!</f>
        <v>#REF!</v>
      </c>
      <c r="J5" s="457" t="e">
        <f>'ЗНАЧЕНИЕ ЦЕЛЕВЫХ ПОКАЗАТЕЛЕЙ'!#REF!</f>
        <v>#REF!</v>
      </c>
      <c r="K5" s="457" t="e">
        <f>'ЗНАЧЕНИЕ ЦЕЛЕВЫХ ПОКАЗАТЕЛЕЙ'!#REF!</f>
        <v>#REF!</v>
      </c>
      <c r="L5" s="457" t="e">
        <f>'ЗНАЧЕНИЕ ЦЕЛЕВЫХ ПОКАЗАТЕЛЕЙ'!#REF!</f>
        <v>#REF!</v>
      </c>
      <c r="M5" s="457" t="e">
        <f>'ЗНАЧЕНИЕ ЦЕЛЕВЫХ ПОКАЗАТЕЛЕЙ'!#REF!</f>
        <v>#REF!</v>
      </c>
      <c r="N5" s="457" t="e">
        <f>'ЗНАЧЕНИЕ ЦЕЛЕВЫХ ПОКАЗАТЕЛЕЙ'!#REF!</f>
        <v>#REF!</v>
      </c>
    </row>
    <row r="26" ht="16.5" thickBot="1">
      <c r="D26" s="251" t="s">
        <v>0</v>
      </c>
    </row>
    <row r="27" spans="4:6" ht="15.75">
      <c r="D27" s="251" t="s">
        <v>1</v>
      </c>
      <c r="F27" s="248"/>
    </row>
    <row r="28" spans="4:6" ht="15.75">
      <c r="D28" s="251" t="s">
        <v>2</v>
      </c>
      <c r="F28" s="249"/>
    </row>
    <row r="29" spans="4:6" ht="16.5" thickBot="1">
      <c r="D29" s="251" t="s">
        <v>3</v>
      </c>
      <c r="F29" s="250"/>
    </row>
    <row r="35" ht="15.75">
      <c r="D35" s="251" t="s">
        <v>100</v>
      </c>
    </row>
    <row r="36" ht="15.75">
      <c r="D36" s="251" t="s">
        <v>103</v>
      </c>
    </row>
    <row r="41" ht="15.75">
      <c r="D41" s="255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29.00390625" style="216" customWidth="1"/>
    <col min="2" max="2" width="10.421875" style="216" customWidth="1"/>
    <col min="3" max="3" width="15.140625" style="216" customWidth="1"/>
    <col min="4" max="16384" width="9.140625" style="216" customWidth="1"/>
  </cols>
  <sheetData>
    <row r="1" spans="1:16" ht="12.75">
      <c r="A1" s="214" t="s">
        <v>500</v>
      </c>
      <c r="B1" s="214"/>
      <c r="C1" s="214"/>
      <c r="D1" s="215">
        <f>'расчет показат'!E4</f>
        <v>2007</v>
      </c>
      <c r="E1" s="215">
        <f>'расчет показат'!F4</f>
        <v>2008</v>
      </c>
      <c r="F1" s="215">
        <f>'расчет показат'!G4</f>
        <v>2009</v>
      </c>
      <c r="G1" s="215">
        <f>'расчет показат'!H4</f>
        <v>2010</v>
      </c>
      <c r="H1" s="215">
        <f>'расчет показат'!I4</f>
        <v>2011</v>
      </c>
      <c r="I1" s="215">
        <f>'расчет показат'!J4</f>
        <v>2012</v>
      </c>
      <c r="J1" s="215">
        <f>'расчет показат'!K4</f>
        <v>2013</v>
      </c>
      <c r="K1" s="215">
        <f>'расчет показат'!L4</f>
        <v>2014</v>
      </c>
      <c r="L1" s="215">
        <f>'расчет показат'!M4</f>
        <v>2015</v>
      </c>
      <c r="M1" s="215">
        <f>'расчет показат'!N4</f>
        <v>2016</v>
      </c>
      <c r="N1" s="215">
        <f>'расчет показат'!O4</f>
        <v>2017</v>
      </c>
      <c r="O1" s="215">
        <f>'расчет показат'!P4</f>
        <v>2018</v>
      </c>
      <c r="P1" s="215">
        <f>'расчет показат'!Q4</f>
        <v>2019</v>
      </c>
    </row>
    <row r="2" spans="1:16" ht="41.25" customHeight="1">
      <c r="A2" s="217" t="e">
        <f>#REF!</f>
        <v>#REF!</v>
      </c>
      <c r="B2" s="217" t="e">
        <f>#REF!</f>
        <v>#REF!</v>
      </c>
      <c r="C2" s="214"/>
      <c r="D2" s="218" t="e">
        <f>#REF!</f>
        <v>#REF!</v>
      </c>
      <c r="E2" s="218" t="e">
        <f>#REF!</f>
        <v>#REF!</v>
      </c>
      <c r="F2" s="218" t="e">
        <f>#REF!</f>
        <v>#REF!</v>
      </c>
      <c r="G2" s="218" t="e">
        <f>#REF!</f>
        <v>#REF!</v>
      </c>
      <c r="H2" s="218" t="e">
        <f>#REF!</f>
        <v>#REF!</v>
      </c>
      <c r="I2" s="218" t="e">
        <f>#REF!</f>
        <v>#REF!</v>
      </c>
      <c r="J2" s="218" t="e">
        <f>#REF!</f>
        <v>#REF!</v>
      </c>
      <c r="K2" s="218" t="e">
        <f>#REF!</f>
        <v>#REF!</v>
      </c>
      <c r="L2" s="218" t="e">
        <f>#REF!</f>
        <v>#REF!</v>
      </c>
      <c r="M2" s="218" t="e">
        <f>#REF!</f>
        <v>#REF!</v>
      </c>
      <c r="N2" s="218" t="e">
        <f>#REF!</f>
        <v>#REF!</v>
      </c>
      <c r="O2" s="218" t="e">
        <f>#REF!</f>
        <v>#REF!</v>
      </c>
      <c r="P2" s="218" t="e">
        <f>#REF!</f>
        <v>#REF!</v>
      </c>
    </row>
    <row r="3" spans="1:16" ht="38.25">
      <c r="A3" s="217" t="e">
        <f>#REF!</f>
        <v>#REF!</v>
      </c>
      <c r="B3" s="217" t="s">
        <v>501</v>
      </c>
      <c r="C3" s="214"/>
      <c r="D3" s="218" t="e">
        <f>#REF!</f>
        <v>#REF!</v>
      </c>
      <c r="E3" s="218" t="e">
        <f>#REF!</f>
        <v>#REF!</v>
      </c>
      <c r="F3" s="218" t="e">
        <f>#REF!</f>
        <v>#REF!</v>
      </c>
      <c r="G3" s="218" t="e">
        <f>#REF!</f>
        <v>#REF!</v>
      </c>
      <c r="H3" s="218" t="e">
        <f>#REF!</f>
        <v>#REF!</v>
      </c>
      <c r="I3" s="218" t="e">
        <f>#REF!</f>
        <v>#REF!</v>
      </c>
      <c r="J3" s="218" t="e">
        <f>#REF!</f>
        <v>#REF!</v>
      </c>
      <c r="K3" s="218" t="e">
        <f>#REF!</f>
        <v>#REF!</v>
      </c>
      <c r="L3" s="218" t="e">
        <f>#REF!</f>
        <v>#REF!</v>
      </c>
      <c r="M3" s="218" t="e">
        <f>#REF!</f>
        <v>#REF!</v>
      </c>
      <c r="N3" s="218" t="e">
        <f>#REF!</f>
        <v>#REF!</v>
      </c>
      <c r="O3" s="218" t="e">
        <f>#REF!</f>
        <v>#REF!</v>
      </c>
      <c r="P3" s="218" t="e">
        <f>#REF!</f>
        <v>#REF!</v>
      </c>
    </row>
    <row r="4" spans="1:16" ht="76.5">
      <c r="A4" s="217" t="str">
        <f>'расчет показат'!B7</f>
        <v>Динамика энергоемкости муниципального продукта муниципальных программ области энергосбережения и повышения энергетической эффективности</v>
      </c>
      <c r="B4" s="214" t="str">
        <f>'расчет показат'!C8</f>
        <v>%</v>
      </c>
      <c r="C4" s="214"/>
      <c r="D4" s="218" t="e">
        <f>'ЗНАЧЕНИЕ ЦЕЛЕВЫХ ПОКАЗАТЕЛЕЙ'!#REF!</f>
        <v>#REF!</v>
      </c>
      <c r="E4" s="218">
        <f>'ЗНАЧЕНИЕ ЦЕЛЕВЫХ ПОКАЗАТЕЛЕЙ'!G10</f>
        <v>2</v>
      </c>
      <c r="F4" s="218" t="str">
        <f>'ЗНАЧЕНИЕ ЦЕЛЕВЫХ ПОКАЗАТЕЛЕЙ'!H10</f>
        <v>+12,5 (прирост)</v>
      </c>
      <c r="G4" s="218" t="e">
        <f>'ЗНАЧЕНИЕ ЦЕЛЕВЫХ ПОКАЗАТЕЛЕЙ'!#REF!</f>
        <v>#REF!</v>
      </c>
      <c r="H4" s="218" t="e">
        <f>'ЗНАЧЕНИЕ ЦЕЛЕВЫХ ПОКАЗАТЕЛЕЙ'!#REF!</f>
        <v>#REF!</v>
      </c>
      <c r="I4" s="218" t="e">
        <f>'ЗНАЧЕНИЕ ЦЕЛЕВЫХ ПОКАЗАТЕЛЕЙ'!#REF!</f>
        <v>#REF!</v>
      </c>
      <c r="J4" s="218" t="e">
        <f>'ЗНАЧЕНИЕ ЦЕЛЕВЫХ ПОКАЗАТЕЛЕЙ'!#REF!</f>
        <v>#REF!</v>
      </c>
      <c r="K4" s="218" t="e">
        <f>'ЗНАЧЕНИЕ ЦЕЛЕВЫХ ПОКАЗАТЕЛЕЙ'!#REF!</f>
        <v>#REF!</v>
      </c>
      <c r="L4" s="218" t="e">
        <f>'ЗНАЧЕНИЕ ЦЕЛЕВЫХ ПОКАЗАТЕЛЕЙ'!#REF!</f>
        <v>#REF!</v>
      </c>
      <c r="M4" s="218" t="e">
        <f>'ЗНАЧЕНИЕ ЦЕЛЕВЫХ ПОКАЗАТЕЛЕЙ'!#REF!</f>
        <v>#REF!</v>
      </c>
      <c r="N4" s="218" t="e">
        <f>'ЗНАЧЕНИЕ ЦЕЛЕВЫХ ПОКАЗАТЕЛЕЙ'!#REF!</f>
        <v>#REF!</v>
      </c>
      <c r="O4" s="218" t="e">
        <f>'ЗНАЧЕНИЕ ЦЕЛЕВЫХ ПОКАЗАТЕЛЕЙ'!#REF!</f>
        <v>#REF!</v>
      </c>
      <c r="P4" s="21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E1">
      <selection activeCell="L76" sqref="L76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30.7109375" style="2" customWidth="1"/>
    <col min="4" max="4" width="11.00390625" style="0" customWidth="1"/>
    <col min="5" max="5" width="10.140625" style="0" customWidth="1"/>
    <col min="6" max="6" width="11.421875" style="0" customWidth="1"/>
    <col min="7" max="7" width="10.7109375" style="0" customWidth="1"/>
    <col min="8" max="8" width="14.421875" style="0" customWidth="1"/>
    <col min="9" max="17" width="14.7109375" style="0" bestFit="1" customWidth="1"/>
  </cols>
  <sheetData>
    <row r="1" spans="1:10" ht="18.75">
      <c r="A1" s="513" t="s">
        <v>164</v>
      </c>
      <c r="B1" s="513"/>
      <c r="C1" s="513"/>
      <c r="D1" s="513"/>
      <c r="E1" s="513"/>
      <c r="F1" s="513"/>
      <c r="G1" s="513"/>
      <c r="H1" s="513"/>
      <c r="I1" s="513"/>
      <c r="J1" s="513"/>
    </row>
    <row r="2" spans="3:12" ht="15.75">
      <c r="C2" s="1"/>
      <c r="L2" t="s">
        <v>316</v>
      </c>
    </row>
    <row r="3" spans="3:12" ht="15.75">
      <c r="C3" s="1"/>
      <c r="L3" s="337" t="e">
        <f>L6/E19*100</f>
        <v>#REF!</v>
      </c>
    </row>
    <row r="4" ht="15.75">
      <c r="C4" s="1"/>
    </row>
    <row r="5" spans="3:17" ht="15.75">
      <c r="C5" s="1"/>
      <c r="G5" s="87" t="e">
        <f>M6/E19</f>
        <v>#REF!</v>
      </c>
      <c r="Q5" s="80" t="e">
        <f>SUM(Q8:Q16)</f>
        <v>#REF!</v>
      </c>
    </row>
    <row r="6" spans="3:17" ht="15.75">
      <c r="C6" s="1"/>
      <c r="H6" t="e">
        <f aca="true" t="shared" si="0" ref="H6:P6">SUM(H7:H16)</f>
        <v>#REF!</v>
      </c>
      <c r="I6" t="e">
        <f t="shared" si="0"/>
        <v>#REF!</v>
      </c>
      <c r="J6" t="e">
        <f t="shared" si="0"/>
        <v>#REF!</v>
      </c>
      <c r="K6" t="e">
        <f t="shared" si="0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s="396" t="e">
        <f>SUM(Q7:Q16)</f>
        <v>#REF!</v>
      </c>
    </row>
    <row r="7" spans="3:17" ht="15.75">
      <c r="C7" s="1"/>
      <c r="G7" t="e">
        <f>L6/E19</f>
        <v>#REF!</v>
      </c>
      <c r="Q7" s="80" t="e">
        <f>R19-Q5</f>
        <v>#REF!</v>
      </c>
    </row>
    <row r="8" spans="3:17" ht="15.75">
      <c r="C8" s="1"/>
      <c r="P8">
        <v>5</v>
      </c>
      <c r="Q8">
        <f>$P$8</f>
        <v>5</v>
      </c>
    </row>
    <row r="9" spans="3:17" ht="15.75">
      <c r="C9" s="1"/>
      <c r="O9">
        <v>4</v>
      </c>
      <c r="P9">
        <v>4</v>
      </c>
      <c r="Q9">
        <f>$O$9</f>
        <v>4</v>
      </c>
    </row>
    <row r="10" spans="3:17" ht="15.75">
      <c r="C10" s="1"/>
      <c r="N10">
        <v>4</v>
      </c>
      <c r="O10">
        <f>$N$10</f>
        <v>4</v>
      </c>
      <c r="P10">
        <f>$N$10</f>
        <v>4</v>
      </c>
      <c r="Q10">
        <f>$N$10</f>
        <v>4</v>
      </c>
    </row>
    <row r="11" spans="3:17" ht="15.75">
      <c r="C11" s="1"/>
      <c r="M11">
        <v>3</v>
      </c>
      <c r="N11">
        <f>$M$11</f>
        <v>3</v>
      </c>
      <c r="O11">
        <f>$M$11</f>
        <v>3</v>
      </c>
      <c r="P11">
        <f>$M$11</f>
        <v>3</v>
      </c>
      <c r="Q11">
        <f>$M$11</f>
        <v>3</v>
      </c>
    </row>
    <row r="12" spans="3:17" ht="15.75">
      <c r="C12" s="1"/>
      <c r="L12">
        <v>3</v>
      </c>
      <c r="M12">
        <f>$L$12</f>
        <v>3</v>
      </c>
      <c r="N12">
        <f>$L$12</f>
        <v>3</v>
      </c>
      <c r="O12">
        <f>$L$12</f>
        <v>3</v>
      </c>
      <c r="P12">
        <f>$L$12</f>
        <v>3</v>
      </c>
      <c r="Q12">
        <f>$L$12</f>
        <v>3</v>
      </c>
    </row>
    <row r="13" spans="3:17" ht="15.75">
      <c r="C13" s="1"/>
      <c r="F13" s="80"/>
      <c r="G13" s="80"/>
      <c r="K13">
        <v>3</v>
      </c>
      <c r="L13">
        <f aca="true" t="shared" si="1" ref="L13:Q13">$K$13</f>
        <v>3</v>
      </c>
      <c r="M13">
        <f t="shared" si="1"/>
        <v>3</v>
      </c>
      <c r="N13">
        <f t="shared" si="1"/>
        <v>3</v>
      </c>
      <c r="O13">
        <f t="shared" si="1"/>
        <v>3</v>
      </c>
      <c r="P13">
        <f t="shared" si="1"/>
        <v>3</v>
      </c>
      <c r="Q13">
        <f t="shared" si="1"/>
        <v>3</v>
      </c>
    </row>
    <row r="14" spans="9:17" ht="12.75">
      <c r="I14" s="302">
        <v>1.5</v>
      </c>
      <c r="J14">
        <v>2.5</v>
      </c>
      <c r="K14">
        <f>$J$14</f>
        <v>2.5</v>
      </c>
      <c r="L14">
        <f aca="true" t="shared" si="2" ref="L14:Q14">$J$14</f>
        <v>2.5</v>
      </c>
      <c r="M14">
        <f t="shared" si="2"/>
        <v>2.5</v>
      </c>
      <c r="N14">
        <f t="shared" si="2"/>
        <v>2.5</v>
      </c>
      <c r="O14">
        <f t="shared" si="2"/>
        <v>2.5</v>
      </c>
      <c r="P14">
        <f t="shared" si="2"/>
        <v>2.5</v>
      </c>
      <c r="Q14">
        <f t="shared" si="2"/>
        <v>2.5</v>
      </c>
    </row>
    <row r="15" spans="9:17" ht="12.75">
      <c r="I15" s="87" t="e">
        <f>I185/1000</f>
        <v>#REF!</v>
      </c>
      <c r="J15" s="87" t="e">
        <f aca="true" t="shared" si="3" ref="J15:Q15">J185/1000</f>
        <v>#REF!</v>
      </c>
      <c r="K15" s="87" t="e">
        <f t="shared" si="3"/>
        <v>#REF!</v>
      </c>
      <c r="L15" s="87" t="e">
        <f t="shared" si="3"/>
        <v>#REF!</v>
      </c>
      <c r="M15" s="87" t="e">
        <f t="shared" si="3"/>
        <v>#REF!</v>
      </c>
      <c r="N15" s="87" t="e">
        <f t="shared" si="3"/>
        <v>#REF!</v>
      </c>
      <c r="O15" s="87" t="e">
        <f t="shared" si="3"/>
        <v>#REF!</v>
      </c>
      <c r="P15" s="87" t="e">
        <f t="shared" si="3"/>
        <v>#REF!</v>
      </c>
      <c r="Q15" s="87" t="e">
        <f t="shared" si="3"/>
        <v>#REF!</v>
      </c>
    </row>
    <row r="16" spans="2:17" ht="63.75" customHeight="1">
      <c r="B16" s="3"/>
      <c r="C16" s="4" t="s">
        <v>468</v>
      </c>
      <c r="D16" s="5" t="s">
        <v>471</v>
      </c>
      <c r="E16" s="504" t="s">
        <v>472</v>
      </c>
      <c r="F16" s="505"/>
      <c r="G16" s="505"/>
      <c r="H16" s="88" t="e">
        <f>E19-H19</f>
        <v>#REF!</v>
      </c>
      <c r="I16" s="88" t="e">
        <f>$H$16</f>
        <v>#REF!</v>
      </c>
      <c r="J16" s="88" t="e">
        <f>$H$16</f>
        <v>#REF!</v>
      </c>
      <c r="K16" s="88" t="e">
        <f aca="true" t="shared" si="4" ref="K16:Q16">$H$16</f>
        <v>#REF!</v>
      </c>
      <c r="L16" s="88" t="e">
        <f t="shared" si="4"/>
        <v>#REF!</v>
      </c>
      <c r="M16" s="88" t="e">
        <f t="shared" si="4"/>
        <v>#REF!</v>
      </c>
      <c r="N16" s="88" t="e">
        <f t="shared" si="4"/>
        <v>#REF!</v>
      </c>
      <c r="O16" s="88" t="e">
        <f t="shared" si="4"/>
        <v>#REF!</v>
      </c>
      <c r="P16" s="88" t="e">
        <f t="shared" si="4"/>
        <v>#REF!</v>
      </c>
      <c r="Q16" s="88" t="e">
        <f t="shared" si="4"/>
        <v>#REF!</v>
      </c>
    </row>
    <row r="17" spans="2:17" ht="15.75">
      <c r="B17" s="3"/>
      <c r="C17" s="6"/>
      <c r="D17" s="7"/>
      <c r="E17" s="8">
        <v>2007</v>
      </c>
      <c r="F17" s="9">
        <v>2008</v>
      </c>
      <c r="G17" s="9">
        <v>2009</v>
      </c>
      <c r="H17" s="9">
        <v>2010</v>
      </c>
      <c r="I17" s="9">
        <v>2011</v>
      </c>
      <c r="J17" s="9">
        <v>2012</v>
      </c>
      <c r="K17" s="9">
        <v>2013</v>
      </c>
      <c r="L17" s="9">
        <v>2014</v>
      </c>
      <c r="M17" s="9">
        <v>2015</v>
      </c>
      <c r="N17" s="9">
        <v>2016</v>
      </c>
      <c r="O17" s="9">
        <v>2017</v>
      </c>
      <c r="P17" s="9">
        <v>2018</v>
      </c>
      <c r="Q17" s="9">
        <v>2019</v>
      </c>
    </row>
    <row r="18" spans="2:19" ht="79.5" thickBot="1">
      <c r="B18" s="10">
        <v>1</v>
      </c>
      <c r="C18" s="97" t="s">
        <v>473</v>
      </c>
      <c r="D18" s="11" t="s">
        <v>474</v>
      </c>
      <c r="E18" s="101" t="e">
        <f>#REF!</f>
        <v>#REF!</v>
      </c>
      <c r="F18" s="101" t="e">
        <f>E18</f>
        <v>#REF!</v>
      </c>
      <c r="G18" s="101" t="e">
        <f aca="true" t="shared" si="5" ref="G18:Q18">F18</f>
        <v>#REF!</v>
      </c>
      <c r="H18" s="12" t="e">
        <f t="shared" si="5"/>
        <v>#REF!</v>
      </c>
      <c r="I18" s="12" t="e">
        <f t="shared" si="5"/>
        <v>#REF!</v>
      </c>
      <c r="J18" s="12" t="e">
        <f t="shared" si="5"/>
        <v>#REF!</v>
      </c>
      <c r="K18" s="12" t="e">
        <f t="shared" si="5"/>
        <v>#REF!</v>
      </c>
      <c r="L18" s="12" t="e">
        <f t="shared" si="5"/>
        <v>#REF!</v>
      </c>
      <c r="M18" s="12" t="e">
        <f t="shared" si="5"/>
        <v>#REF!</v>
      </c>
      <c r="N18" s="12" t="e">
        <f t="shared" si="5"/>
        <v>#REF!</v>
      </c>
      <c r="O18" s="12" t="e">
        <f t="shared" si="5"/>
        <v>#REF!</v>
      </c>
      <c r="P18" s="12" t="e">
        <f t="shared" si="5"/>
        <v>#REF!</v>
      </c>
      <c r="Q18" s="12" t="e">
        <f t="shared" si="5"/>
        <v>#REF!</v>
      </c>
      <c r="S18" s="111" t="e">
        <f>R19/E19</f>
        <v>#REF!</v>
      </c>
    </row>
    <row r="19" spans="2:19" ht="32.25" thickBot="1">
      <c r="B19" s="10">
        <v>2</v>
      </c>
      <c r="C19" s="97" t="s">
        <v>475</v>
      </c>
      <c r="D19" s="11" t="s">
        <v>476</v>
      </c>
      <c r="E19" s="101" t="e">
        <f>#REF!</f>
        <v>#REF!</v>
      </c>
      <c r="F19" s="23" t="e">
        <f>F20*F18</f>
        <v>#REF!</v>
      </c>
      <c r="G19" s="23" t="e">
        <f>G20*G18</f>
        <v>#REF!</v>
      </c>
      <c r="H19" s="85" t="e">
        <f>H20*H18</f>
        <v>#REF!</v>
      </c>
      <c r="I19" s="85" t="e">
        <f>$E$19-I6</f>
        <v>#REF!</v>
      </c>
      <c r="J19" s="85" t="e">
        <f aca="true" t="shared" si="6" ref="J19:P19">$E$19-J6</f>
        <v>#REF!</v>
      </c>
      <c r="K19" s="85" t="e">
        <f t="shared" si="6"/>
        <v>#REF!</v>
      </c>
      <c r="L19" s="85" t="e">
        <f t="shared" si="6"/>
        <v>#REF!</v>
      </c>
      <c r="M19" s="85" t="e">
        <f t="shared" si="6"/>
        <v>#REF!</v>
      </c>
      <c r="N19" s="85" t="e">
        <f t="shared" si="6"/>
        <v>#REF!</v>
      </c>
      <c r="O19" s="85" t="e">
        <f t="shared" si="6"/>
        <v>#REF!</v>
      </c>
      <c r="P19" s="85" t="e">
        <f t="shared" si="6"/>
        <v>#REF!</v>
      </c>
      <c r="Q19" s="85" t="e">
        <f>R20*Q18</f>
        <v>#REF!</v>
      </c>
      <c r="R19" s="364" t="e">
        <f>E19-Q19</f>
        <v>#REF!</v>
      </c>
      <c r="S19" t="s">
        <v>466</v>
      </c>
    </row>
    <row r="20" spans="2:18" ht="16.5" thickBot="1">
      <c r="B20" s="10"/>
      <c r="C20" s="97" t="s">
        <v>387</v>
      </c>
      <c r="D20" s="11"/>
      <c r="E20" s="104" t="e">
        <f>#REF!</f>
        <v>#REF!</v>
      </c>
      <c r="F20" s="104" t="e">
        <f>#REF!</f>
        <v>#REF!</v>
      </c>
      <c r="G20" s="104" t="e">
        <f>#REF!</f>
        <v>#REF!</v>
      </c>
      <c r="H20" s="71" t="e">
        <f>E20*0.98</f>
        <v>#REF!</v>
      </c>
      <c r="I20" s="71" t="e">
        <f>I19/I18</f>
        <v>#REF!</v>
      </c>
      <c r="J20" s="85" t="e">
        <f aca="true" t="shared" si="7" ref="J20:Q20">J19/J18</f>
        <v>#REF!</v>
      </c>
      <c r="K20" s="85" t="e">
        <f t="shared" si="7"/>
        <v>#REF!</v>
      </c>
      <c r="L20" s="85" t="e">
        <f t="shared" si="7"/>
        <v>#REF!</v>
      </c>
      <c r="M20" s="85" t="e">
        <f t="shared" si="7"/>
        <v>#REF!</v>
      </c>
      <c r="N20" s="85" t="e">
        <f t="shared" si="7"/>
        <v>#REF!</v>
      </c>
      <c r="O20" s="85" t="e">
        <f t="shared" si="7"/>
        <v>#REF!</v>
      </c>
      <c r="P20" s="85" t="e">
        <f t="shared" si="7"/>
        <v>#REF!</v>
      </c>
      <c r="Q20" s="85" t="e">
        <f t="shared" si="7"/>
        <v>#REF!</v>
      </c>
      <c r="R20" s="89" t="e">
        <f>E20-(E20*0.4)</f>
        <v>#REF!</v>
      </c>
    </row>
    <row r="21" spans="2:18" ht="32.25" thickBot="1">
      <c r="B21" s="10">
        <v>3</v>
      </c>
      <c r="C21" s="97" t="s">
        <v>477</v>
      </c>
      <c r="D21" s="11" t="s">
        <v>478</v>
      </c>
      <c r="E21" s="101" t="e">
        <f>E22*E18*1000</f>
        <v>#REF!</v>
      </c>
      <c r="F21" s="12" t="e">
        <f>F22*F18*1000</f>
        <v>#REF!</v>
      </c>
      <c r="G21" s="12" t="e">
        <f>G22*G18*1000</f>
        <v>#REF!</v>
      </c>
      <c r="H21" s="85" t="e">
        <f>$E$21-H190</f>
        <v>#REF!</v>
      </c>
      <c r="I21" s="85" t="e">
        <f aca="true" t="shared" si="8" ref="I21:Q21">$E$21-I190</f>
        <v>#REF!</v>
      </c>
      <c r="J21" s="85" t="e">
        <f t="shared" si="8"/>
        <v>#REF!</v>
      </c>
      <c r="K21" s="85" t="e">
        <f t="shared" si="8"/>
        <v>#REF!</v>
      </c>
      <c r="L21" s="85" t="e">
        <f t="shared" si="8"/>
        <v>#REF!</v>
      </c>
      <c r="M21" s="85" t="e">
        <f t="shared" si="8"/>
        <v>#REF!</v>
      </c>
      <c r="N21" s="85" t="e">
        <f t="shared" si="8"/>
        <v>#REF!</v>
      </c>
      <c r="O21" s="85" t="e">
        <f t="shared" si="8"/>
        <v>#REF!</v>
      </c>
      <c r="P21" s="85" t="e">
        <f t="shared" si="8"/>
        <v>#REF!</v>
      </c>
      <c r="Q21" s="85" t="e">
        <f t="shared" si="8"/>
        <v>#REF!</v>
      </c>
      <c r="R21" s="89"/>
    </row>
    <row r="22" spans="2:18" ht="16.5" thickBot="1">
      <c r="B22" s="10"/>
      <c r="C22" s="97" t="s">
        <v>402</v>
      </c>
      <c r="D22" s="11"/>
      <c r="E22" s="103" t="e">
        <f>#REF!</f>
        <v>#REF!</v>
      </c>
      <c r="F22" s="103" t="e">
        <f>#REF!</f>
        <v>#REF!</v>
      </c>
      <c r="G22" s="103" t="e">
        <f>#REF!</f>
        <v>#REF!</v>
      </c>
      <c r="H22" s="105" t="e">
        <f>H21/H18/1000</f>
        <v>#REF!</v>
      </c>
      <c r="I22" s="105" t="e">
        <f aca="true" t="shared" si="9" ref="I22:Q22">I21/I18/1000</f>
        <v>#REF!</v>
      </c>
      <c r="J22" s="105" t="e">
        <f t="shared" si="9"/>
        <v>#REF!</v>
      </c>
      <c r="K22" s="105" t="e">
        <f t="shared" si="9"/>
        <v>#REF!</v>
      </c>
      <c r="L22" s="105" t="e">
        <f t="shared" si="9"/>
        <v>#REF!</v>
      </c>
      <c r="M22" s="105" t="e">
        <f t="shared" si="9"/>
        <v>#REF!</v>
      </c>
      <c r="N22" s="105" t="e">
        <f t="shared" si="9"/>
        <v>#REF!</v>
      </c>
      <c r="O22" s="105" t="e">
        <f t="shared" si="9"/>
        <v>#REF!</v>
      </c>
      <c r="P22" s="105" t="e">
        <f t="shared" si="9"/>
        <v>#REF!</v>
      </c>
      <c r="Q22" s="105" t="e">
        <f t="shared" si="9"/>
        <v>#REF!</v>
      </c>
      <c r="R22" s="106"/>
    </row>
    <row r="23" spans="2:17" ht="32.25" thickBot="1">
      <c r="B23" s="10">
        <v>4</v>
      </c>
      <c r="C23" s="97" t="s">
        <v>479</v>
      </c>
      <c r="D23" s="11" t="s">
        <v>480</v>
      </c>
      <c r="E23" s="102" t="e">
        <f>E24*E18</f>
        <v>#REF!</v>
      </c>
      <c r="F23" s="23" t="e">
        <f>F24*F18</f>
        <v>#REF!</v>
      </c>
      <c r="G23" s="23" t="e">
        <f>G24*G18</f>
        <v>#REF!</v>
      </c>
      <c r="H23" s="70" t="e">
        <f>$E$23-H200</f>
        <v>#REF!</v>
      </c>
      <c r="I23" s="70" t="e">
        <f>$E$23-I200</f>
        <v>#REF!</v>
      </c>
      <c r="J23" s="70" t="e">
        <f aca="true" t="shared" si="10" ref="J23:Q23">$E$23-J200</f>
        <v>#REF!</v>
      </c>
      <c r="K23" s="70" t="e">
        <f t="shared" si="10"/>
        <v>#REF!</v>
      </c>
      <c r="L23" s="70" t="e">
        <f t="shared" si="10"/>
        <v>#REF!</v>
      </c>
      <c r="M23" s="70" t="e">
        <f t="shared" si="10"/>
        <v>#REF!</v>
      </c>
      <c r="N23" s="70" t="e">
        <f t="shared" si="10"/>
        <v>#REF!</v>
      </c>
      <c r="O23" s="70" t="e">
        <f t="shared" si="10"/>
        <v>#REF!</v>
      </c>
      <c r="P23" s="70" t="e">
        <f t="shared" si="10"/>
        <v>#REF!</v>
      </c>
      <c r="Q23" s="70" t="e">
        <f t="shared" si="10"/>
        <v>#REF!</v>
      </c>
    </row>
    <row r="24" spans="2:17" ht="16.5" thickBot="1">
      <c r="B24" s="10"/>
      <c r="C24" s="97" t="s">
        <v>403</v>
      </c>
      <c r="D24" s="11"/>
      <c r="E24" s="102" t="e">
        <f>#REF!</f>
        <v>#REF!</v>
      </c>
      <c r="F24" s="102" t="e">
        <f>#REF!</f>
        <v>#REF!</v>
      </c>
      <c r="G24" s="102" t="e">
        <f>#REF!</f>
        <v>#REF!</v>
      </c>
      <c r="H24" s="85" t="e">
        <f>H23/H18</f>
        <v>#REF!</v>
      </c>
      <c r="I24" s="85" t="e">
        <f aca="true" t="shared" si="11" ref="I24:Q24">I23/I18</f>
        <v>#REF!</v>
      </c>
      <c r="J24" s="85" t="e">
        <f t="shared" si="11"/>
        <v>#REF!</v>
      </c>
      <c r="K24" s="85" t="e">
        <f t="shared" si="11"/>
        <v>#REF!</v>
      </c>
      <c r="L24" s="85" t="e">
        <f t="shared" si="11"/>
        <v>#REF!</v>
      </c>
      <c r="M24" s="85" t="e">
        <f t="shared" si="11"/>
        <v>#REF!</v>
      </c>
      <c r="N24" s="85" t="e">
        <f t="shared" si="11"/>
        <v>#REF!</v>
      </c>
      <c r="O24" s="85" t="e">
        <f t="shared" si="11"/>
        <v>#REF!</v>
      </c>
      <c r="P24" s="85" t="e">
        <f t="shared" si="11"/>
        <v>#REF!</v>
      </c>
      <c r="Q24" s="85" t="e">
        <f t="shared" si="11"/>
        <v>#REF!</v>
      </c>
    </row>
    <row r="25" spans="2:17" ht="32.25" thickBot="1">
      <c r="B25" s="10">
        <v>5</v>
      </c>
      <c r="C25" s="97" t="s">
        <v>481</v>
      </c>
      <c r="D25" s="11" t="s">
        <v>482</v>
      </c>
      <c r="E25" s="101" t="e">
        <f>E26*E18</f>
        <v>#REF!</v>
      </c>
      <c r="F25" s="12" t="e">
        <f>F26*F18</f>
        <v>#REF!</v>
      </c>
      <c r="G25" s="12" t="e">
        <f>G26*G18</f>
        <v>#REF!</v>
      </c>
      <c r="H25" s="3" t="e">
        <f>$E$25-H225</f>
        <v>#REF!</v>
      </c>
      <c r="I25" s="3" t="e">
        <f aca="true" t="shared" si="12" ref="I25:Q25">$E$25-I225</f>
        <v>#REF!</v>
      </c>
      <c r="J25" s="3" t="e">
        <f t="shared" si="12"/>
        <v>#REF!</v>
      </c>
      <c r="K25" s="3" t="e">
        <f t="shared" si="12"/>
        <v>#REF!</v>
      </c>
      <c r="L25" s="3" t="e">
        <f t="shared" si="12"/>
        <v>#REF!</v>
      </c>
      <c r="M25" s="3" t="e">
        <f t="shared" si="12"/>
        <v>#REF!</v>
      </c>
      <c r="N25" s="3" t="e">
        <f t="shared" si="12"/>
        <v>#REF!</v>
      </c>
      <c r="O25" s="3" t="e">
        <f t="shared" si="12"/>
        <v>#REF!</v>
      </c>
      <c r="P25" s="3" t="e">
        <f t="shared" si="12"/>
        <v>#REF!</v>
      </c>
      <c r="Q25" s="3" t="e">
        <f t="shared" si="12"/>
        <v>#REF!</v>
      </c>
    </row>
    <row r="26" spans="2:17" ht="16.5" thickBot="1">
      <c r="B26" s="10"/>
      <c r="C26" s="97" t="s">
        <v>404</v>
      </c>
      <c r="D26" s="252" t="s">
        <v>0</v>
      </c>
      <c r="E26" s="101" t="e">
        <f>#REF!</f>
        <v>#REF!</v>
      </c>
      <c r="F26" s="240" t="e">
        <f>#REF!</f>
        <v>#REF!</v>
      </c>
      <c r="G26" s="101" t="e">
        <f>#REF!</f>
        <v>#REF!</v>
      </c>
      <c r="H26" s="85" t="e">
        <f>H25/H18</f>
        <v>#REF!</v>
      </c>
      <c r="I26" s="85" t="e">
        <f aca="true" t="shared" si="13" ref="I26:Q26">I25/I18</f>
        <v>#REF!</v>
      </c>
      <c r="J26" s="85" t="e">
        <f t="shared" si="13"/>
        <v>#REF!</v>
      </c>
      <c r="K26" s="85" t="e">
        <f t="shared" si="13"/>
        <v>#REF!</v>
      </c>
      <c r="L26" s="85" t="e">
        <f t="shared" si="13"/>
        <v>#REF!</v>
      </c>
      <c r="M26" s="85" t="e">
        <f t="shared" si="13"/>
        <v>#REF!</v>
      </c>
      <c r="N26" s="85" t="e">
        <f t="shared" si="13"/>
        <v>#REF!</v>
      </c>
      <c r="O26" s="85" t="e">
        <f t="shared" si="13"/>
        <v>#REF!</v>
      </c>
      <c r="P26" s="85" t="e">
        <f t="shared" si="13"/>
        <v>#REF!</v>
      </c>
      <c r="Q26" s="85" t="e">
        <f t="shared" si="13"/>
        <v>#REF!</v>
      </c>
    </row>
    <row r="27" spans="2:17" ht="32.25" thickBot="1">
      <c r="B27" s="10">
        <v>6</v>
      </c>
      <c r="C27" s="97" t="s">
        <v>483</v>
      </c>
      <c r="D27" s="252" t="s">
        <v>1</v>
      </c>
      <c r="E27" s="236" t="e">
        <f>E28*E18*1000</f>
        <v>#REF!</v>
      </c>
      <c r="F27" s="242" t="e">
        <f>F28*F18*1000</f>
        <v>#REF!</v>
      </c>
      <c r="G27" s="12" t="e">
        <f>G28*G18*1000</f>
        <v>#REF!</v>
      </c>
      <c r="H27" s="85" t="e">
        <f>$E$27-H209</f>
        <v>#REF!</v>
      </c>
      <c r="I27" s="85" t="e">
        <f aca="true" t="shared" si="14" ref="I27:Q27">$E$27-I209</f>
        <v>#REF!</v>
      </c>
      <c r="J27" s="85" t="e">
        <f t="shared" si="14"/>
        <v>#REF!</v>
      </c>
      <c r="K27" s="85" t="e">
        <f t="shared" si="14"/>
        <v>#REF!</v>
      </c>
      <c r="L27" s="85" t="e">
        <f t="shared" si="14"/>
        <v>#REF!</v>
      </c>
      <c r="M27" s="85" t="e">
        <f t="shared" si="14"/>
        <v>#REF!</v>
      </c>
      <c r="N27" s="85" t="e">
        <f t="shared" si="14"/>
        <v>#REF!</v>
      </c>
      <c r="O27" s="85" t="e">
        <f t="shared" si="14"/>
        <v>#REF!</v>
      </c>
      <c r="P27" s="85" t="e">
        <f t="shared" si="14"/>
        <v>#REF!</v>
      </c>
      <c r="Q27" s="85" t="e">
        <f t="shared" si="14"/>
        <v>#REF!</v>
      </c>
    </row>
    <row r="28" spans="2:17" ht="16.5" thickBot="1">
      <c r="B28" s="10"/>
      <c r="C28" s="97" t="s">
        <v>405</v>
      </c>
      <c r="D28" s="252" t="s">
        <v>2</v>
      </c>
      <c r="E28" s="237" t="e">
        <f>#REF!</f>
        <v>#REF!</v>
      </c>
      <c r="F28" s="243" t="e">
        <f>#REF!</f>
        <v>#REF!</v>
      </c>
      <c r="G28" s="102" t="e">
        <f>#REF!</f>
        <v>#REF!</v>
      </c>
      <c r="H28" s="85" t="e">
        <f>H27/H18/1000</f>
        <v>#REF!</v>
      </c>
      <c r="I28" s="85" t="e">
        <f aca="true" t="shared" si="15" ref="I28:Q28">I27/I18/1000</f>
        <v>#REF!</v>
      </c>
      <c r="J28" s="85" t="e">
        <f t="shared" si="15"/>
        <v>#REF!</v>
      </c>
      <c r="K28" s="85" t="e">
        <f t="shared" si="15"/>
        <v>#REF!</v>
      </c>
      <c r="L28" s="85" t="e">
        <f t="shared" si="15"/>
        <v>#REF!</v>
      </c>
      <c r="M28" s="85" t="e">
        <f t="shared" si="15"/>
        <v>#REF!</v>
      </c>
      <c r="N28" s="85" t="e">
        <f t="shared" si="15"/>
        <v>#REF!</v>
      </c>
      <c r="O28" s="85" t="e">
        <f t="shared" si="15"/>
        <v>#REF!</v>
      </c>
      <c r="P28" s="85" t="e">
        <f t="shared" si="15"/>
        <v>#REF!</v>
      </c>
      <c r="Q28" s="85" t="e">
        <f t="shared" si="15"/>
        <v>#REF!</v>
      </c>
    </row>
    <row r="29" spans="2:17" ht="111" thickBot="1">
      <c r="B29" s="10">
        <v>7</v>
      </c>
      <c r="C29" s="97" t="s">
        <v>484</v>
      </c>
      <c r="D29" s="252" t="s">
        <v>3</v>
      </c>
      <c r="E29" s="238" t="e">
        <f>#REF!</f>
        <v>#REF!</v>
      </c>
      <c r="F29" s="244" t="e">
        <f>#REF!</f>
        <v>#REF!</v>
      </c>
      <c r="G29" s="12" t="e">
        <f>#REF!</f>
        <v>#REF!</v>
      </c>
      <c r="H29" s="3"/>
      <c r="I29" s="3"/>
      <c r="J29" s="3"/>
      <c r="K29" s="3"/>
      <c r="L29" s="3"/>
      <c r="M29" s="85" t="e">
        <f>M21</f>
        <v>#REF!</v>
      </c>
      <c r="N29" s="85" t="e">
        <f>N21</f>
        <v>#REF!</v>
      </c>
      <c r="O29" s="85" t="e">
        <f>O21</f>
        <v>#REF!</v>
      </c>
      <c r="P29" s="85" t="e">
        <f>P21</f>
        <v>#REF!</v>
      </c>
      <c r="Q29" s="85" t="e">
        <f>Q21</f>
        <v>#REF!</v>
      </c>
    </row>
    <row r="30" spans="2:17" ht="111" thickBot="1">
      <c r="B30" s="10">
        <v>8</v>
      </c>
      <c r="C30" s="97" t="s">
        <v>485</v>
      </c>
      <c r="D30" s="11" t="s">
        <v>486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11" thickBot="1">
      <c r="B31" s="10">
        <v>9</v>
      </c>
      <c r="C31" s="97" t="s">
        <v>487</v>
      </c>
      <c r="D31" s="11" t="s">
        <v>482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6.75" thickBot="1">
      <c r="B32" s="10">
        <v>10</v>
      </c>
      <c r="C32" s="97" t="s">
        <v>488</v>
      </c>
      <c r="D32" s="11" t="s">
        <v>482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32.25" thickBot="1">
      <c r="B33" s="10">
        <v>11</v>
      </c>
      <c r="C33" s="97" t="s">
        <v>489</v>
      </c>
      <c r="D33" s="11" t="s">
        <v>490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32.25" thickBot="1">
      <c r="B34" s="10">
        <v>12</v>
      </c>
      <c r="C34" s="97" t="s">
        <v>491</v>
      </c>
      <c r="D34" s="11" t="s">
        <v>492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6.5" thickBot="1">
      <c r="B35" s="10">
        <v>13</v>
      </c>
      <c r="C35" s="97" t="s">
        <v>493</v>
      </c>
      <c r="D35" s="252" t="s">
        <v>100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32.25" thickBot="1">
      <c r="B36" s="10">
        <v>14</v>
      </c>
      <c r="C36" s="97" t="s">
        <v>494</v>
      </c>
      <c r="D36" s="252" t="s">
        <v>103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11" thickBot="1">
      <c r="B37" s="10">
        <v>15</v>
      </c>
      <c r="C37" s="97" t="s">
        <v>495</v>
      </c>
      <c r="D37" s="11" t="s">
        <v>496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63.75" thickBot="1">
      <c r="B38" s="10">
        <v>16</v>
      </c>
      <c r="C38" s="97" t="s">
        <v>497</v>
      </c>
      <c r="D38" s="11" t="s">
        <v>496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79.5" thickBot="1">
      <c r="B39" s="10">
        <v>17</v>
      </c>
      <c r="C39" s="97" t="s">
        <v>498</v>
      </c>
      <c r="D39" s="11" t="s">
        <v>474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11" thickBot="1">
      <c r="B40" s="10">
        <v>18</v>
      </c>
      <c r="C40" s="97" t="s">
        <v>499</v>
      </c>
      <c r="D40" s="11" t="s">
        <v>474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6.5" thickBot="1">
      <c r="B41" s="10"/>
      <c r="C41" s="11" t="s">
        <v>388</v>
      </c>
      <c r="D41" s="253"/>
      <c r="E41" s="12" t="e">
        <f>E42+E44</f>
        <v>#REF!</v>
      </c>
      <c r="F41" s="12" t="e">
        <f>F42+F44</f>
        <v>#REF!</v>
      </c>
      <c r="G41" s="12" t="e">
        <f>G42+G44</f>
        <v>#REF!</v>
      </c>
      <c r="H41" s="3" t="e">
        <f>$G$41-($G$41*0.03)</f>
        <v>#REF!</v>
      </c>
      <c r="I41" s="3" t="e">
        <f>$G$41-($G$41*0.06)-1859</f>
        <v>#REF!</v>
      </c>
      <c r="J41" s="3" t="e">
        <f>$G$41-($G$41*0.09)-2059</f>
        <v>#REF!</v>
      </c>
      <c r="K41" s="3" t="e">
        <f>$G$41-($G$41*0.12)-4359</f>
        <v>#REF!</v>
      </c>
      <c r="L41" s="3" t="e">
        <f>$G$41-($G$41*0.15)-4359</f>
        <v>#REF!</v>
      </c>
      <c r="M41" s="3" t="e">
        <f>$G$41-($G$41*0.16)-4359</f>
        <v>#REF!</v>
      </c>
      <c r="N41" s="3" t="e">
        <f>$G$41-($G$41*0.17)-4359</f>
        <v>#REF!</v>
      </c>
      <c r="O41" s="3" t="e">
        <f>$G$41-($G$41*0.18)-4359</f>
        <v>#REF!</v>
      </c>
      <c r="P41" s="3" t="e">
        <f>$G$41-($G$41*0.19)-4359</f>
        <v>#REF!</v>
      </c>
      <c r="Q41" s="3" t="e">
        <f>$G$41-($G$41*0.2)-4359</f>
        <v>#REF!</v>
      </c>
    </row>
    <row r="42" spans="2:17" ht="63.75" thickBot="1">
      <c r="B42" s="10">
        <v>19</v>
      </c>
      <c r="C42" s="97" t="s">
        <v>502</v>
      </c>
      <c r="D42" s="11" t="s">
        <v>503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</row>
    <row r="43" spans="2:17" ht="63.75" thickBot="1">
      <c r="B43" s="10">
        <v>20</v>
      </c>
      <c r="C43" s="97" t="s">
        <v>504</v>
      </c>
      <c r="D43" s="11" t="s">
        <v>505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</row>
    <row r="44" spans="2:17" ht="69" customHeight="1" thickBot="1">
      <c r="B44" s="10">
        <v>21</v>
      </c>
      <c r="C44" s="97" t="s">
        <v>506</v>
      </c>
      <c r="D44" s="11" t="s">
        <v>503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</row>
    <row r="45" spans="2:17" ht="75.75" customHeight="1" thickBot="1">
      <c r="B45" s="10">
        <v>22</v>
      </c>
      <c r="C45" s="97" t="s">
        <v>507</v>
      </c>
      <c r="D45" s="15" t="s">
        <v>505</v>
      </c>
      <c r="E45" s="100" t="e">
        <f>#REF!</f>
        <v>#REF!</v>
      </c>
      <c r="F45" s="100" t="e">
        <f>#REF!</f>
        <v>#REF!</v>
      </c>
      <c r="G45" s="100" t="e">
        <f>#REF!</f>
        <v>#REF!</v>
      </c>
      <c r="H45" s="100" t="e">
        <f>#REF!</f>
        <v>#REF!</v>
      </c>
      <c r="I45" s="100" t="e">
        <f>#REF!</f>
        <v>#REF!</v>
      </c>
      <c r="J45" s="100" t="e">
        <f>#REF!</f>
        <v>#REF!</v>
      </c>
      <c r="K45" s="100" t="e">
        <f>#REF!</f>
        <v>#REF!</v>
      </c>
      <c r="L45" s="100" t="e">
        <f>#REF!</f>
        <v>#REF!</v>
      </c>
      <c r="M45" s="100" t="e">
        <f>#REF!</f>
        <v>#REF!</v>
      </c>
      <c r="N45" s="100" t="e">
        <f>#REF!</f>
        <v>#REF!</v>
      </c>
      <c r="O45" s="100" t="e">
        <f>#REF!</f>
        <v>#REF!</v>
      </c>
      <c r="P45" s="100" t="e">
        <f>#REF!</f>
        <v>#REF!</v>
      </c>
      <c r="Q45" s="100" t="e">
        <f>#REF!</f>
        <v>#REF!</v>
      </c>
    </row>
    <row r="46" spans="2:17" ht="57.75" customHeight="1" thickBot="1">
      <c r="B46" s="10"/>
      <c r="C46" s="11" t="s">
        <v>389</v>
      </c>
      <c r="D46" s="15" t="s">
        <v>509</v>
      </c>
      <c r="E46" s="99" t="e">
        <f>E47+E49</f>
        <v>#REF!</v>
      </c>
      <c r="F46" s="99" t="e">
        <f>F47+F49</f>
        <v>#REF!</v>
      </c>
      <c r="G46" s="99" t="e">
        <f>G47+G49</f>
        <v>#REF!</v>
      </c>
      <c r="H46" s="3" t="e">
        <f>$G$46-($G$46*0.03)</f>
        <v>#REF!</v>
      </c>
      <c r="I46" s="3" t="e">
        <f>$G$46-($G$46*0.06)-25200</f>
        <v>#REF!</v>
      </c>
      <c r="J46" s="3" t="e">
        <f>$G$46-($G$46*0.09)-27200</f>
        <v>#REF!</v>
      </c>
      <c r="K46" s="3" t="e">
        <f>$G$46-($G$46*0.12)-45200</f>
        <v>#REF!</v>
      </c>
      <c r="L46" s="3" t="e">
        <f>$G$46-($G$46*0.15)-45200</f>
        <v>#REF!</v>
      </c>
      <c r="M46" s="3" t="e">
        <f>$G$46-($G$46*0.16)-45200</f>
        <v>#REF!</v>
      </c>
      <c r="N46" s="3" t="e">
        <f>$G$46-($G$46*0.17)-45200</f>
        <v>#REF!</v>
      </c>
      <c r="O46" s="3" t="e">
        <f>$G$46-($G$46*0.18)-45200</f>
        <v>#REF!</v>
      </c>
      <c r="P46" s="3" t="e">
        <f>$G$46-($G$46*0.19)-45200</f>
        <v>#REF!</v>
      </c>
      <c r="Q46" s="3" t="e">
        <f>$G$46-($G$46*0.2)-45200</f>
        <v>#REF!</v>
      </c>
    </row>
    <row r="47" spans="2:17" ht="62.25" customHeight="1" thickBot="1">
      <c r="B47" s="10">
        <v>23</v>
      </c>
      <c r="C47" s="97" t="s">
        <v>508</v>
      </c>
      <c r="D47" s="15" t="s">
        <v>509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2:17" ht="73.5" customHeight="1" thickBot="1">
      <c r="B48" s="10">
        <v>24</v>
      </c>
      <c r="C48" s="97" t="s">
        <v>510</v>
      </c>
      <c r="D48" s="15" t="s">
        <v>511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2:17" ht="73.5" customHeight="1" thickBot="1">
      <c r="B49" s="10">
        <v>25</v>
      </c>
      <c r="C49" s="97" t="s">
        <v>512</v>
      </c>
      <c r="D49" s="15" t="s">
        <v>509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3">
        <v>0</v>
      </c>
      <c r="I49" s="3">
        <f>H49-(H49*0.03)</f>
        <v>0</v>
      </c>
      <c r="J49" s="3"/>
      <c r="K49" s="3"/>
      <c r="L49" s="3"/>
      <c r="M49" s="3"/>
      <c r="N49" s="3"/>
      <c r="O49" s="3"/>
      <c r="P49" s="3"/>
      <c r="Q49" s="3"/>
    </row>
    <row r="50" spans="2:17" ht="66.75" customHeight="1" thickBot="1">
      <c r="B50" s="10">
        <v>26</v>
      </c>
      <c r="C50" s="97" t="s">
        <v>513</v>
      </c>
      <c r="D50" s="11" t="s">
        <v>511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2:17" ht="66.75" customHeight="1" thickBot="1">
      <c r="B51" s="10"/>
      <c r="C51" s="11" t="s">
        <v>390</v>
      </c>
      <c r="D51" s="11"/>
      <c r="E51" s="13" t="e">
        <f>E52+E54</f>
        <v>#REF!</v>
      </c>
      <c r="F51" s="13" t="e">
        <f>F52+F54</f>
        <v>#REF!</v>
      </c>
      <c r="G51" s="95" t="e">
        <f>G52+G54</f>
        <v>#REF!</v>
      </c>
      <c r="H51" s="3" t="e">
        <f>$G$51-($G$51*0.03)</f>
        <v>#REF!</v>
      </c>
      <c r="I51" s="3" t="e">
        <f>$G$51-($G$51*0.06)-962500</f>
        <v>#REF!</v>
      </c>
      <c r="J51" s="3" t="e">
        <f>$G$51-($G$51*0.09)-962500</f>
        <v>#REF!</v>
      </c>
      <c r="K51" s="3" t="e">
        <f>$G$51-($G$51*0.12)-962500</f>
        <v>#REF!</v>
      </c>
      <c r="L51" s="3" t="e">
        <f>$G$51-($G$51*0.15)-962500</f>
        <v>#REF!</v>
      </c>
      <c r="M51" s="3" t="e">
        <f>$G$51-($G$51*0.16)-962500</f>
        <v>#REF!</v>
      </c>
      <c r="N51" s="3" t="e">
        <f>$G$51-($G$51*0.17)-962500</f>
        <v>#REF!</v>
      </c>
      <c r="O51" s="3" t="e">
        <f>$G$51-($G$51*0.18)-962500</f>
        <v>#REF!</v>
      </c>
      <c r="P51" s="3" t="e">
        <f>$G$51-($G$51*0.19)-962500</f>
        <v>#REF!</v>
      </c>
      <c r="Q51" s="3" t="e">
        <f>$G$51-($G$51*0.2)-962500</f>
        <v>#REF!</v>
      </c>
    </row>
    <row r="52" spans="2:17" ht="79.5" thickBot="1">
      <c r="B52" s="10">
        <v>27</v>
      </c>
      <c r="C52" s="97" t="s">
        <v>514</v>
      </c>
      <c r="D52" s="27" t="s">
        <v>515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</row>
    <row r="53" spans="2:17" ht="95.25" thickBot="1">
      <c r="B53" s="19">
        <v>28</v>
      </c>
      <c r="C53" s="97" t="s">
        <v>516</v>
      </c>
      <c r="D53" s="11" t="s">
        <v>511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</row>
    <row r="54" spans="2:17" ht="79.5" thickBot="1">
      <c r="B54" s="10">
        <v>29</v>
      </c>
      <c r="C54" s="97" t="s">
        <v>517</v>
      </c>
      <c r="D54" s="11" t="s">
        <v>515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</row>
    <row r="55" spans="2:17" ht="95.25" thickBot="1">
      <c r="B55" s="19">
        <v>30</v>
      </c>
      <c r="C55" s="97" t="s">
        <v>518</v>
      </c>
      <c r="D55" s="11" t="s">
        <v>511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</row>
    <row r="56" spans="2:17" ht="36.75" customHeight="1" thickBot="1">
      <c r="B56" s="10">
        <v>31</v>
      </c>
      <c r="C56" s="97" t="s">
        <v>519</v>
      </c>
      <c r="D56" s="11" t="s">
        <v>482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3" t="e">
        <f>$G$56-($G$56*0.03)</f>
        <v>#REF!</v>
      </c>
      <c r="I56" s="3" t="e">
        <f>$G$56-($G$56*0.06)</f>
        <v>#REF!</v>
      </c>
      <c r="J56" s="3" t="e">
        <f>$G$56-($G$56*0.09)</f>
        <v>#REF!</v>
      </c>
      <c r="K56" s="3" t="e">
        <f>$G$56-($G$56*0.12)</f>
        <v>#REF!</v>
      </c>
      <c r="L56" s="3" t="e">
        <f>$G$56-($G$56*0.15)</f>
        <v>#REF!</v>
      </c>
      <c r="M56" s="3" t="e">
        <f>$G$56-($G$56*0.16)</f>
        <v>#REF!</v>
      </c>
      <c r="N56" s="3" t="e">
        <f>$G$56-($G$56*0.17)</f>
        <v>#REF!</v>
      </c>
      <c r="O56" s="3" t="e">
        <f>$G$56-($G$56*0.18)</f>
        <v>#REF!</v>
      </c>
      <c r="P56" s="3" t="e">
        <f>$G$56-($G$56*0.19)</f>
        <v>#REF!</v>
      </c>
      <c r="Q56" s="3" t="e">
        <f>$G$56-($G$56*0.2)</f>
        <v>#REF!</v>
      </c>
    </row>
    <row r="57" spans="2:17" ht="95.25" thickBot="1">
      <c r="B57" s="10">
        <v>32</v>
      </c>
      <c r="C57" s="97" t="s">
        <v>520</v>
      </c>
      <c r="D57" s="11" t="s">
        <v>482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</row>
    <row r="58" spans="2:17" ht="32.25" thickBot="1">
      <c r="B58" s="10">
        <v>33</v>
      </c>
      <c r="C58" s="97" t="s">
        <v>521</v>
      </c>
      <c r="D58" s="11" t="s">
        <v>522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</row>
    <row r="59" spans="2:17" ht="48" thickBot="1">
      <c r="B59" s="10">
        <v>34</v>
      </c>
      <c r="C59" s="97" t="s">
        <v>523</v>
      </c>
      <c r="D59" s="11" t="s">
        <v>522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79.5" thickBot="1">
      <c r="B60" s="10">
        <v>35</v>
      </c>
      <c r="C60" s="97" t="s">
        <v>524</v>
      </c>
      <c r="D60" s="11" t="s">
        <v>522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5" thickBot="1">
      <c r="B61" s="10">
        <v>36</v>
      </c>
      <c r="C61" s="97" t="s">
        <v>525</v>
      </c>
      <c r="D61" s="11" t="s">
        <v>526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5.25" thickBot="1">
      <c r="B62" s="10">
        <v>37</v>
      </c>
      <c r="C62" s="97" t="s">
        <v>527</v>
      </c>
      <c r="D62" s="11" t="s">
        <v>526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</row>
    <row r="63" spans="2:17" ht="69" customHeight="1" thickBot="1">
      <c r="B63" s="10">
        <v>38</v>
      </c>
      <c r="C63" s="97" t="s">
        <v>528</v>
      </c>
      <c r="D63" s="11" t="s">
        <v>526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32.25" thickBot="1">
      <c r="B64" s="10">
        <v>39</v>
      </c>
      <c r="C64" s="97" t="s">
        <v>529</v>
      </c>
      <c r="D64" s="11" t="s">
        <v>526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</row>
    <row r="65" spans="2:17" ht="63.75" thickBot="1">
      <c r="B65" s="10">
        <v>40</v>
      </c>
      <c r="C65" s="97" t="s">
        <v>530</v>
      </c>
      <c r="D65" s="11" t="s">
        <v>526</v>
      </c>
      <c r="E65" s="13" t="e">
        <f>#REF!</f>
        <v>#REF!</v>
      </c>
      <c r="F65" s="13" t="e">
        <f>#REF!</f>
        <v>#REF!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 t="e">
        <f>#REF!</f>
        <v>#REF!</v>
      </c>
      <c r="N65" s="13" t="e">
        <f>#REF!</f>
        <v>#REF!</v>
      </c>
      <c r="O65" s="13" t="e">
        <f>#REF!</f>
        <v>#REF!</v>
      </c>
      <c r="P65" s="13" t="e">
        <f>#REF!</f>
        <v>#REF!</v>
      </c>
      <c r="Q65" s="13" t="e">
        <f>#REF!</f>
        <v>#REF!</v>
      </c>
    </row>
    <row r="66" spans="2:17" ht="48" thickBot="1">
      <c r="B66" s="10">
        <v>41</v>
      </c>
      <c r="C66" s="97" t="s">
        <v>531</v>
      </c>
      <c r="D66" s="11" t="s">
        <v>522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</row>
    <row r="67" spans="2:17" ht="95.25" thickBot="1">
      <c r="B67" s="10">
        <v>42</v>
      </c>
      <c r="C67" s="97" t="s">
        <v>532</v>
      </c>
      <c r="D67" s="11" t="s">
        <v>522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</row>
    <row r="68" spans="2:17" ht="95.25" thickBot="1">
      <c r="B68" s="10">
        <v>43</v>
      </c>
      <c r="C68" s="97" t="s">
        <v>533</v>
      </c>
      <c r="D68" s="11" t="s">
        <v>522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</row>
    <row r="69" spans="2:17" ht="95.25" thickBot="1">
      <c r="B69" s="10">
        <v>44</v>
      </c>
      <c r="C69" s="97" t="s">
        <v>534</v>
      </c>
      <c r="D69" s="11" t="s">
        <v>526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</row>
    <row r="70" spans="2:17" ht="79.5" thickBot="1">
      <c r="B70" s="10">
        <v>45</v>
      </c>
      <c r="C70" s="97" t="s">
        <v>535</v>
      </c>
      <c r="D70" s="11" t="s">
        <v>515</v>
      </c>
      <c r="E70" s="13" t="e">
        <f>#REF!</f>
        <v>#REF!</v>
      </c>
      <c r="F70" s="13" t="e">
        <f>#REF!</f>
        <v>#REF!</v>
      </c>
      <c r="G70" s="18" t="e">
        <f>#REF!</f>
        <v>#REF!</v>
      </c>
      <c r="H70" s="100" t="e">
        <f>G70*0.999</f>
        <v>#REF!</v>
      </c>
      <c r="I70" s="100" t="e">
        <f>H70*0.95*1.0024</f>
        <v>#REF!</v>
      </c>
      <c r="J70" s="100" t="e">
        <f>I70*0.98*1.0024</f>
        <v>#REF!</v>
      </c>
      <c r="K70" s="100" t="e">
        <f aca="true" t="shared" si="16" ref="K70:Q70">J70*0.987*1.0024</f>
        <v>#REF!</v>
      </c>
      <c r="L70" s="100" t="e">
        <f t="shared" si="16"/>
        <v>#REF!</v>
      </c>
      <c r="M70" s="100" t="e">
        <f t="shared" si="16"/>
        <v>#REF!</v>
      </c>
      <c r="N70" s="100" t="e">
        <f t="shared" si="16"/>
        <v>#REF!</v>
      </c>
      <c r="O70" s="100" t="e">
        <f t="shared" si="16"/>
        <v>#REF!</v>
      </c>
      <c r="P70" s="100" t="e">
        <f t="shared" si="16"/>
        <v>#REF!</v>
      </c>
      <c r="Q70" s="100" t="e">
        <f t="shared" si="16"/>
        <v>#REF!</v>
      </c>
    </row>
    <row r="71" spans="2:18" ht="126.75" thickBot="1">
      <c r="B71" s="10">
        <v>46</v>
      </c>
      <c r="C71" s="97" t="s">
        <v>536</v>
      </c>
      <c r="D71" s="11" t="s">
        <v>515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 aca="true" t="shared" si="17" ref="H71:Q71">H70</f>
        <v>#REF!</v>
      </c>
      <c r="I71" s="13" t="e">
        <f t="shared" si="17"/>
        <v>#REF!</v>
      </c>
      <c r="J71" s="13" t="e">
        <f t="shared" si="17"/>
        <v>#REF!</v>
      </c>
      <c r="K71" s="13" t="e">
        <f t="shared" si="17"/>
        <v>#REF!</v>
      </c>
      <c r="L71" s="13" t="e">
        <f t="shared" si="17"/>
        <v>#REF!</v>
      </c>
      <c r="M71" s="13" t="e">
        <f t="shared" si="17"/>
        <v>#REF!</v>
      </c>
      <c r="N71" s="13" t="e">
        <f t="shared" si="17"/>
        <v>#REF!</v>
      </c>
      <c r="O71" s="13" t="e">
        <f t="shared" si="17"/>
        <v>#REF!</v>
      </c>
      <c r="P71" s="13" t="e">
        <f t="shared" si="17"/>
        <v>#REF!</v>
      </c>
      <c r="Q71" s="13" t="e">
        <f t="shared" si="17"/>
        <v>#REF!</v>
      </c>
      <c r="R71" t="s">
        <v>72</v>
      </c>
    </row>
    <row r="72" spans="2:17" ht="48" thickBot="1">
      <c r="B72" s="10">
        <v>47</v>
      </c>
      <c r="C72" s="97" t="s">
        <v>537</v>
      </c>
      <c r="D72" s="11" t="s">
        <v>515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3" t="e">
        <f>G72*0.999</f>
        <v>#REF!</v>
      </c>
      <c r="I72" s="3" t="e">
        <f>H72*0.95*1.0014</f>
        <v>#REF!</v>
      </c>
      <c r="J72" s="3" t="e">
        <f>I72*0.98</f>
        <v>#REF!</v>
      </c>
      <c r="K72" s="3" t="e">
        <f aca="true" t="shared" si="18" ref="K72:Q72">J72*0.98</f>
        <v>#REF!</v>
      </c>
      <c r="L72" s="3" t="e">
        <f t="shared" si="18"/>
        <v>#REF!</v>
      </c>
      <c r="M72" s="3" t="e">
        <f t="shared" si="18"/>
        <v>#REF!</v>
      </c>
      <c r="N72" s="3" t="e">
        <f t="shared" si="18"/>
        <v>#REF!</v>
      </c>
      <c r="O72" s="3" t="e">
        <f t="shared" si="18"/>
        <v>#REF!</v>
      </c>
      <c r="P72" s="3" t="e">
        <f t="shared" si="18"/>
        <v>#REF!</v>
      </c>
      <c r="Q72" s="3" t="e">
        <f t="shared" si="18"/>
        <v>#REF!</v>
      </c>
    </row>
    <row r="73" spans="2:17" ht="126.75" thickBot="1">
      <c r="B73" s="10">
        <v>48</v>
      </c>
      <c r="C73" s="97" t="s">
        <v>538</v>
      </c>
      <c r="D73" s="11" t="s">
        <v>515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H72*0.3</f>
        <v>#REF!</v>
      </c>
      <c r="I73" s="13" t="e">
        <f>I72*0.53</f>
        <v>#REF!</v>
      </c>
      <c r="J73" s="13" t="e">
        <f>J72</f>
        <v>#REF!</v>
      </c>
      <c r="K73" s="13" t="e">
        <f aca="true" t="shared" si="19" ref="K73:Q73">K72</f>
        <v>#REF!</v>
      </c>
      <c r="L73" s="13" t="e">
        <f t="shared" si="19"/>
        <v>#REF!</v>
      </c>
      <c r="M73" s="13" t="e">
        <f t="shared" si="19"/>
        <v>#REF!</v>
      </c>
      <c r="N73" s="13" t="e">
        <f t="shared" si="19"/>
        <v>#REF!</v>
      </c>
      <c r="O73" s="13" t="e">
        <f t="shared" si="19"/>
        <v>#REF!</v>
      </c>
      <c r="P73" s="13" t="e">
        <f t="shared" si="19"/>
        <v>#REF!</v>
      </c>
      <c r="Q73" s="13" t="e">
        <f t="shared" si="19"/>
        <v>#REF!</v>
      </c>
    </row>
    <row r="74" spans="2:17" ht="142.5" thickBot="1">
      <c r="B74" s="10">
        <v>49</v>
      </c>
      <c r="C74" s="97" t="s">
        <v>539</v>
      </c>
      <c r="D74" s="11" t="s">
        <v>515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3" t="e">
        <f aca="true" t="shared" si="20" ref="H74:Q74">H72-H73</f>
        <v>#REF!</v>
      </c>
      <c r="I74" s="3" t="e">
        <f t="shared" si="20"/>
        <v>#REF!</v>
      </c>
      <c r="J74" s="3" t="e">
        <f t="shared" si="20"/>
        <v>#REF!</v>
      </c>
      <c r="K74" s="3" t="e">
        <f t="shared" si="20"/>
        <v>#REF!</v>
      </c>
      <c r="L74" s="3" t="e">
        <f t="shared" si="20"/>
        <v>#REF!</v>
      </c>
      <c r="M74" s="3" t="e">
        <f t="shared" si="20"/>
        <v>#REF!</v>
      </c>
      <c r="N74" s="3" t="e">
        <f t="shared" si="20"/>
        <v>#REF!</v>
      </c>
      <c r="O74" s="3" t="e">
        <f t="shared" si="20"/>
        <v>#REF!</v>
      </c>
      <c r="P74" s="3" t="e">
        <f t="shared" si="20"/>
        <v>#REF!</v>
      </c>
      <c r="Q74" s="3" t="e">
        <f t="shared" si="20"/>
        <v>#REF!</v>
      </c>
    </row>
    <row r="75" spans="2:17" ht="55.5" customHeight="1" thickBot="1">
      <c r="B75" s="19">
        <v>50</v>
      </c>
      <c r="C75" s="97" t="s">
        <v>540</v>
      </c>
      <c r="D75" s="11" t="s">
        <v>503</v>
      </c>
      <c r="E75" s="95" t="e">
        <f>#REF!</f>
        <v>#REF!</v>
      </c>
      <c r="F75" s="95" t="e">
        <f>#REF!</f>
        <v>#REF!</v>
      </c>
      <c r="G75" s="95" t="e">
        <f>#REF!</f>
        <v>#REF!</v>
      </c>
      <c r="H75" s="464">
        <f>553*0.99</f>
        <v>547.47</v>
      </c>
      <c r="I75" s="464">
        <f aca="true" t="shared" si="21" ref="I75:Q75">H75*0.99</f>
        <v>541.9953</v>
      </c>
      <c r="J75" s="464">
        <f t="shared" si="21"/>
        <v>536.5753470000001</v>
      </c>
      <c r="K75" s="464">
        <f t="shared" si="21"/>
        <v>531.2095935300001</v>
      </c>
      <c r="L75" s="464">
        <f t="shared" si="21"/>
        <v>525.8974975947001</v>
      </c>
      <c r="M75" s="464">
        <f t="shared" si="21"/>
        <v>520.6385226187531</v>
      </c>
      <c r="N75" s="464">
        <f t="shared" si="21"/>
        <v>515.4321373925656</v>
      </c>
      <c r="O75" s="464">
        <f t="shared" si="21"/>
        <v>510.2778160186399</v>
      </c>
      <c r="P75" s="464">
        <f t="shared" si="21"/>
        <v>505.1750378584535</v>
      </c>
      <c r="Q75" s="464">
        <f t="shared" si="21"/>
        <v>500.12328747986896</v>
      </c>
    </row>
    <row r="76" spans="2:17" ht="95.25" thickBot="1">
      <c r="B76" s="10">
        <v>51</v>
      </c>
      <c r="C76" s="97" t="s">
        <v>541</v>
      </c>
      <c r="D76" s="11" t="s">
        <v>503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463">
        <v>0</v>
      </c>
      <c r="I76" s="463">
        <f>I75*0.03</f>
        <v>16.259859000000002</v>
      </c>
      <c r="J76" s="463">
        <f>J75*0.1</f>
        <v>53.657534700000014</v>
      </c>
      <c r="K76" s="463">
        <f>K75*0.2</f>
        <v>106.24191870600004</v>
      </c>
      <c r="L76" s="463">
        <f>L75*0.65</f>
        <v>341.83337343655506</v>
      </c>
      <c r="M76" s="463">
        <f>M75</f>
        <v>520.6385226187531</v>
      </c>
      <c r="N76" s="463">
        <f>N75</f>
        <v>515.4321373925656</v>
      </c>
      <c r="O76" s="463">
        <f>O75</f>
        <v>510.2778160186399</v>
      </c>
      <c r="P76" s="463">
        <f>P75</f>
        <v>505.1750378584535</v>
      </c>
      <c r="Q76" s="463">
        <f>Q75</f>
        <v>500.12328747986896</v>
      </c>
    </row>
    <row r="77" spans="2:17" ht="52.5" customHeight="1" thickBot="1">
      <c r="B77" s="10">
        <v>52</v>
      </c>
      <c r="C77" s="97" t="s">
        <v>542</v>
      </c>
      <c r="D77" s="11" t="s">
        <v>503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158" t="e">
        <f>H133</f>
        <v>#REF!</v>
      </c>
      <c r="I77" s="158" t="e">
        <f>I133</f>
        <v>#REF!</v>
      </c>
      <c r="J77" s="158" t="e">
        <f>J133</f>
        <v>#REF!</v>
      </c>
      <c r="K77" s="158" t="e">
        <f aca="true" t="shared" si="22" ref="K77:Q77">K133</f>
        <v>#REF!</v>
      </c>
      <c r="L77" s="158" t="e">
        <f t="shared" si="22"/>
        <v>#REF!</v>
      </c>
      <c r="M77" s="158" t="e">
        <f t="shared" si="22"/>
        <v>#REF!</v>
      </c>
      <c r="N77" s="158" t="e">
        <f t="shared" si="22"/>
        <v>#REF!</v>
      </c>
      <c r="O77" s="158" t="e">
        <f t="shared" si="22"/>
        <v>#REF!</v>
      </c>
      <c r="P77" s="158" t="e">
        <f t="shared" si="22"/>
        <v>#REF!</v>
      </c>
      <c r="Q77" s="158" t="e">
        <f t="shared" si="22"/>
        <v>#REF!</v>
      </c>
    </row>
    <row r="78" spans="2:17" ht="126.75" thickBot="1">
      <c r="B78" s="10">
        <v>53</v>
      </c>
      <c r="C78" s="97" t="s">
        <v>543</v>
      </c>
      <c r="D78" s="11" t="s">
        <v>503</v>
      </c>
      <c r="E78" s="95" t="e">
        <f>#REF!</f>
        <v>#REF!</v>
      </c>
      <c r="F78" s="95" t="e">
        <f>#REF!</f>
        <v>#REF!</v>
      </c>
      <c r="G78" s="95" t="e">
        <f>#REF!</f>
        <v>#REF!</v>
      </c>
      <c r="H78" s="158" t="e">
        <f>H129</f>
        <v>#REF!</v>
      </c>
      <c r="I78" s="158" t="e">
        <f>I129</f>
        <v>#REF!</v>
      </c>
      <c r="J78" s="158" t="e">
        <f>J129</f>
        <v>#REF!</v>
      </c>
      <c r="K78" s="158" t="e">
        <f>K129</f>
        <v>#REF!</v>
      </c>
      <c r="L78" s="158" t="e">
        <f>L129</f>
        <v>#REF!</v>
      </c>
      <c r="M78" s="158" t="e">
        <f>M77</f>
        <v>#REF!</v>
      </c>
      <c r="N78" s="158" t="e">
        <f>N77</f>
        <v>#REF!</v>
      </c>
      <c r="O78" s="158" t="e">
        <f>O77</f>
        <v>#REF!</v>
      </c>
      <c r="P78" s="158" t="e">
        <f>P77</f>
        <v>#REF!</v>
      </c>
      <c r="Q78" s="158" t="e">
        <f>Q77</f>
        <v>#REF!</v>
      </c>
    </row>
    <row r="79" spans="2:17" ht="79.5" thickBot="1">
      <c r="B79" s="10">
        <v>54</v>
      </c>
      <c r="C79" s="97" t="s">
        <v>544</v>
      </c>
      <c r="D79" s="11" t="s">
        <v>545</v>
      </c>
      <c r="E79" s="95" t="e">
        <f>#REF!</f>
        <v>#REF!</v>
      </c>
      <c r="F79" s="95" t="e">
        <f>#REF!</f>
        <v>#REF!</v>
      </c>
      <c r="G79" s="95" t="e">
        <f>#REF!</f>
        <v>#REF!</v>
      </c>
      <c r="H79" s="164" t="e">
        <f>H172</f>
        <v>#REF!</v>
      </c>
      <c r="I79" s="164" t="e">
        <f aca="true" t="shared" si="23" ref="I79:Q79">I172</f>
        <v>#REF!</v>
      </c>
      <c r="J79" s="164" t="e">
        <f t="shared" si="23"/>
        <v>#REF!</v>
      </c>
      <c r="K79" s="164" t="e">
        <f t="shared" si="23"/>
        <v>#REF!</v>
      </c>
      <c r="L79" s="164" t="e">
        <f t="shared" si="23"/>
        <v>#REF!</v>
      </c>
      <c r="M79" s="164" t="e">
        <f t="shared" si="23"/>
        <v>#REF!</v>
      </c>
      <c r="N79" s="164" t="e">
        <f t="shared" si="23"/>
        <v>#REF!</v>
      </c>
      <c r="O79" s="164" t="e">
        <f t="shared" si="23"/>
        <v>#REF!</v>
      </c>
      <c r="P79" s="164" t="e">
        <f t="shared" si="23"/>
        <v>#REF!</v>
      </c>
      <c r="Q79" s="164" t="e">
        <f t="shared" si="23"/>
        <v>#REF!</v>
      </c>
    </row>
    <row r="80" spans="2:17" ht="126.75" thickBot="1">
      <c r="B80" s="10">
        <v>55</v>
      </c>
      <c r="C80" s="97" t="s">
        <v>547</v>
      </c>
      <c r="D80" s="11" t="s">
        <v>545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65" t="e">
        <f>H170</f>
        <v>#REF!</v>
      </c>
      <c r="I80" s="165" t="e">
        <f>I170</f>
        <v>#REF!</v>
      </c>
      <c r="J80" s="165" t="e">
        <f>J172</f>
        <v>#REF!</v>
      </c>
      <c r="K80" s="165" t="e">
        <f aca="true" t="shared" si="24" ref="K80:Q80">K172</f>
        <v>#REF!</v>
      </c>
      <c r="L80" s="165" t="e">
        <f t="shared" si="24"/>
        <v>#REF!</v>
      </c>
      <c r="M80" s="165" t="e">
        <f t="shared" si="24"/>
        <v>#REF!</v>
      </c>
      <c r="N80" s="165" t="e">
        <f t="shared" si="24"/>
        <v>#REF!</v>
      </c>
      <c r="O80" s="165" t="e">
        <f t="shared" si="24"/>
        <v>#REF!</v>
      </c>
      <c r="P80" s="165" t="e">
        <f t="shared" si="24"/>
        <v>#REF!</v>
      </c>
      <c r="Q80" s="165" t="e">
        <f t="shared" si="24"/>
        <v>#REF!</v>
      </c>
    </row>
    <row r="81" spans="2:17" ht="63.75" thickBot="1">
      <c r="B81" s="10">
        <v>56</v>
      </c>
      <c r="C81" s="97" t="s">
        <v>548</v>
      </c>
      <c r="D81" s="11" t="s">
        <v>545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65" t="e">
        <f>H176</f>
        <v>#REF!</v>
      </c>
      <c r="I81" s="165" t="e">
        <f>I176</f>
        <v>#REF!</v>
      </c>
      <c r="J81" s="165" t="e">
        <f aca="true" t="shared" si="25" ref="J81:Q81">J176</f>
        <v>#REF!</v>
      </c>
      <c r="K81" s="165" t="e">
        <f t="shared" si="25"/>
        <v>#REF!</v>
      </c>
      <c r="L81" s="165" t="e">
        <f t="shared" si="25"/>
        <v>#REF!</v>
      </c>
      <c r="M81" s="165" t="e">
        <f t="shared" si="25"/>
        <v>#REF!</v>
      </c>
      <c r="N81" s="165" t="e">
        <f t="shared" si="25"/>
        <v>#REF!</v>
      </c>
      <c r="O81" s="165" t="e">
        <f t="shared" si="25"/>
        <v>#REF!</v>
      </c>
      <c r="P81" s="165" t="e">
        <f t="shared" si="25"/>
        <v>#REF!</v>
      </c>
      <c r="Q81" s="165" t="e">
        <f t="shared" si="25"/>
        <v>#REF!</v>
      </c>
    </row>
    <row r="82" spans="2:17" ht="126.75" thickBot="1">
      <c r="B82" s="10">
        <v>57</v>
      </c>
      <c r="C82" s="97" t="s">
        <v>549</v>
      </c>
      <c r="D82" s="11" t="s">
        <v>545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65" t="e">
        <f>H174</f>
        <v>#REF!</v>
      </c>
      <c r="I82" s="165" t="e">
        <f>I174</f>
        <v>#REF!</v>
      </c>
      <c r="J82" s="165" t="e">
        <f>J176</f>
        <v>#REF!</v>
      </c>
      <c r="K82" s="165" t="e">
        <f aca="true" t="shared" si="26" ref="K82:Q82">K176</f>
        <v>#REF!</v>
      </c>
      <c r="L82" s="165" t="e">
        <f t="shared" si="26"/>
        <v>#REF!</v>
      </c>
      <c r="M82" s="165" t="e">
        <f t="shared" si="26"/>
        <v>#REF!</v>
      </c>
      <c r="N82" s="165" t="e">
        <f t="shared" si="26"/>
        <v>#REF!</v>
      </c>
      <c r="O82" s="165" t="e">
        <f t="shared" si="26"/>
        <v>#REF!</v>
      </c>
      <c r="P82" s="165" t="e">
        <f t="shared" si="26"/>
        <v>#REF!</v>
      </c>
      <c r="Q82" s="165" t="e">
        <f t="shared" si="26"/>
        <v>#REF!</v>
      </c>
    </row>
    <row r="83" spans="2:17" ht="142.5" thickBot="1">
      <c r="B83" s="10">
        <v>58</v>
      </c>
      <c r="C83" s="97" t="s">
        <v>554</v>
      </c>
      <c r="D83" s="11" t="s">
        <v>545</v>
      </c>
      <c r="E83" s="13" t="e">
        <f>#REF!</f>
        <v>#REF!</v>
      </c>
      <c r="F83" s="13" t="e">
        <f>#REF!</f>
        <v>#REF!</v>
      </c>
      <c r="G83" s="13" t="e">
        <f>#REF!</f>
        <v>#REF!</v>
      </c>
      <c r="H83" s="165" t="e">
        <f>G83*1.8</f>
        <v>#REF!</v>
      </c>
      <c r="I83" s="165" t="e">
        <f>H83*1.005</f>
        <v>#REF!</v>
      </c>
      <c r="J83" s="165" t="e">
        <f>I83*0.66</f>
        <v>#REF!</v>
      </c>
      <c r="K83" s="165" t="e">
        <f>J83*0.63</f>
        <v>#REF!</v>
      </c>
      <c r="L83" s="165" t="e">
        <f aca="true" t="shared" si="27" ref="L83:Q83">L81-L82</f>
        <v>#REF!</v>
      </c>
      <c r="M83" s="165" t="e">
        <f t="shared" si="27"/>
        <v>#REF!</v>
      </c>
      <c r="N83" s="165" t="e">
        <f t="shared" si="27"/>
        <v>#REF!</v>
      </c>
      <c r="O83" s="165" t="e">
        <f t="shared" si="27"/>
        <v>#REF!</v>
      </c>
      <c r="P83" s="165" t="e">
        <f t="shared" si="27"/>
        <v>#REF!</v>
      </c>
      <c r="Q83" s="165" t="e">
        <f t="shared" si="27"/>
        <v>#REF!</v>
      </c>
    </row>
    <row r="84" spans="2:17" ht="79.5" thickBot="1">
      <c r="B84" s="10">
        <v>59</v>
      </c>
      <c r="C84" s="97" t="s">
        <v>555</v>
      </c>
      <c r="D84" s="11" t="s">
        <v>556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80" t="e">
        <f>H147</f>
        <v>#REF!</v>
      </c>
      <c r="I84" s="180" t="e">
        <f aca="true" t="shared" si="28" ref="I84:Q84">I147</f>
        <v>#REF!</v>
      </c>
      <c r="J84" s="180" t="e">
        <f t="shared" si="28"/>
        <v>#REF!</v>
      </c>
      <c r="K84" s="180" t="e">
        <f t="shared" si="28"/>
        <v>#REF!</v>
      </c>
      <c r="L84" s="180" t="e">
        <f t="shared" si="28"/>
        <v>#REF!</v>
      </c>
      <c r="M84" s="180" t="e">
        <f t="shared" si="28"/>
        <v>#REF!</v>
      </c>
      <c r="N84" s="180" t="e">
        <f t="shared" si="28"/>
        <v>#REF!</v>
      </c>
      <c r="O84" s="180" t="e">
        <f t="shared" si="28"/>
        <v>#REF!</v>
      </c>
      <c r="P84" s="180" t="e">
        <f t="shared" si="28"/>
        <v>#REF!</v>
      </c>
      <c r="Q84" s="180" t="e">
        <f t="shared" si="28"/>
        <v>#REF!</v>
      </c>
    </row>
    <row r="85" spans="2:17" ht="126.75" thickBot="1">
      <c r="B85" s="10">
        <v>60</v>
      </c>
      <c r="C85" s="97" t="s">
        <v>557</v>
      </c>
      <c r="D85" s="11" t="s">
        <v>556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65" t="e">
        <f>H148</f>
        <v>#REF!</v>
      </c>
      <c r="I85" s="165" t="e">
        <f aca="true" t="shared" si="29" ref="I85:Q85">I148</f>
        <v>#REF!</v>
      </c>
      <c r="J85" s="165" t="e">
        <f t="shared" si="29"/>
        <v>#REF!</v>
      </c>
      <c r="K85" s="165" t="e">
        <f t="shared" si="29"/>
        <v>#REF!</v>
      </c>
      <c r="L85" s="165" t="e">
        <f t="shared" si="29"/>
        <v>#REF!</v>
      </c>
      <c r="M85" s="165" t="e">
        <f t="shared" si="29"/>
        <v>#REF!</v>
      </c>
      <c r="N85" s="165" t="e">
        <f t="shared" si="29"/>
        <v>#REF!</v>
      </c>
      <c r="O85" s="165" t="e">
        <f t="shared" si="29"/>
        <v>#REF!</v>
      </c>
      <c r="P85" s="165" t="e">
        <f t="shared" si="29"/>
        <v>#REF!</v>
      </c>
      <c r="Q85" s="165" t="e">
        <f t="shared" si="29"/>
        <v>#REF!</v>
      </c>
    </row>
    <row r="86" spans="2:17" ht="63.75" thickBot="1">
      <c r="B86" s="10">
        <v>61</v>
      </c>
      <c r="C86" s="97" t="s">
        <v>558</v>
      </c>
      <c r="D86" s="11" t="s">
        <v>556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79" t="e">
        <f>H160</f>
        <v>#REF!</v>
      </c>
      <c r="I86" s="179" t="e">
        <f aca="true" t="shared" si="30" ref="I86:Q86">I160</f>
        <v>#REF!</v>
      </c>
      <c r="J86" s="179" t="e">
        <f t="shared" si="30"/>
        <v>#REF!</v>
      </c>
      <c r="K86" s="179" t="e">
        <f t="shared" si="30"/>
        <v>#REF!</v>
      </c>
      <c r="L86" s="179" t="e">
        <f t="shared" si="30"/>
        <v>#REF!</v>
      </c>
      <c r="M86" s="179" t="e">
        <f t="shared" si="30"/>
        <v>#REF!</v>
      </c>
      <c r="N86" s="179" t="e">
        <f t="shared" si="30"/>
        <v>#REF!</v>
      </c>
      <c r="O86" s="179" t="e">
        <f t="shared" si="30"/>
        <v>#REF!</v>
      </c>
      <c r="P86" s="179" t="e">
        <f t="shared" si="30"/>
        <v>#REF!</v>
      </c>
      <c r="Q86" s="179" t="e">
        <f t="shared" si="30"/>
        <v>#REF!</v>
      </c>
    </row>
    <row r="87" spans="2:17" ht="158.25" thickBot="1">
      <c r="B87" s="10">
        <v>62</v>
      </c>
      <c r="C87" s="97" t="s">
        <v>559</v>
      </c>
      <c r="D87" s="11" t="s">
        <v>556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65" t="e">
        <f>H155</f>
        <v>#REF!</v>
      </c>
      <c r="I87" s="165" t="e">
        <f>I155</f>
        <v>#REF!</v>
      </c>
      <c r="J87" s="179" t="e">
        <f>J86</f>
        <v>#REF!</v>
      </c>
      <c r="K87" s="179" t="e">
        <f aca="true" t="shared" si="31" ref="K87:Q87">K86</f>
        <v>#REF!</v>
      </c>
      <c r="L87" s="179" t="e">
        <f t="shared" si="31"/>
        <v>#REF!</v>
      </c>
      <c r="M87" s="179" t="e">
        <f t="shared" si="31"/>
        <v>#REF!</v>
      </c>
      <c r="N87" s="179" t="e">
        <f t="shared" si="31"/>
        <v>#REF!</v>
      </c>
      <c r="O87" s="179" t="e">
        <f t="shared" si="31"/>
        <v>#REF!</v>
      </c>
      <c r="P87" s="179" t="e">
        <f t="shared" si="31"/>
        <v>#REF!</v>
      </c>
      <c r="Q87" s="179" t="e">
        <f t="shared" si="31"/>
        <v>#REF!</v>
      </c>
    </row>
    <row r="88" spans="2:17" ht="16.5" thickBot="1">
      <c r="B88" s="20">
        <v>63</v>
      </c>
      <c r="C88" s="97" t="s">
        <v>560</v>
      </c>
      <c r="D88" s="11" t="s">
        <v>526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$G$88</f>
        <v>#REF!</v>
      </c>
      <c r="I88" s="13" t="e">
        <f aca="true" t="shared" si="32" ref="I88:Q88">$G$88</f>
        <v>#REF!</v>
      </c>
      <c r="J88" s="13" t="e">
        <f t="shared" si="32"/>
        <v>#REF!</v>
      </c>
      <c r="K88" s="13" t="e">
        <f t="shared" si="32"/>
        <v>#REF!</v>
      </c>
      <c r="L88" s="13" t="e">
        <f t="shared" si="32"/>
        <v>#REF!</v>
      </c>
      <c r="M88" s="13" t="e">
        <f t="shared" si="32"/>
        <v>#REF!</v>
      </c>
      <c r="N88" s="13" t="e">
        <f t="shared" si="32"/>
        <v>#REF!</v>
      </c>
      <c r="O88" s="13" t="e">
        <f t="shared" si="32"/>
        <v>#REF!</v>
      </c>
      <c r="P88" s="13" t="e">
        <f t="shared" si="32"/>
        <v>#REF!</v>
      </c>
      <c r="Q88" s="13" t="e">
        <f t="shared" si="32"/>
        <v>#REF!</v>
      </c>
    </row>
    <row r="89" spans="2:18" ht="63.75" thickBot="1">
      <c r="B89" s="10">
        <v>64</v>
      </c>
      <c r="C89" s="97" t="s">
        <v>561</v>
      </c>
      <c r="D89" s="27" t="s">
        <v>526</v>
      </c>
      <c r="E89" s="348" t="e">
        <f>#REF!</f>
        <v>#REF!</v>
      </c>
      <c r="F89" s="348" t="e">
        <f>#REF!</f>
        <v>#REF!</v>
      </c>
      <c r="G89" s="348" t="e">
        <f>#REF!</f>
        <v>#REF!</v>
      </c>
      <c r="H89" s="13">
        <v>55</v>
      </c>
      <c r="I89" s="13">
        <v>65</v>
      </c>
      <c r="J89" s="13">
        <v>78</v>
      </c>
      <c r="K89" s="13">
        <v>78</v>
      </c>
      <c r="L89" s="13">
        <v>78</v>
      </c>
      <c r="M89" s="13">
        <v>78</v>
      </c>
      <c r="N89" s="13">
        <v>78</v>
      </c>
      <c r="O89" s="13">
        <v>78</v>
      </c>
      <c r="P89" s="13">
        <v>78</v>
      </c>
      <c r="Q89" s="13">
        <v>78</v>
      </c>
      <c r="R89" t="s">
        <v>401</v>
      </c>
    </row>
    <row r="90" spans="2:17" ht="142.5" thickBot="1">
      <c r="B90" s="21">
        <v>65</v>
      </c>
      <c r="C90" s="97" t="s">
        <v>562</v>
      </c>
      <c r="D90" s="11" t="s">
        <v>505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</row>
    <row r="91" spans="2:17" ht="95.25" thickBot="1">
      <c r="B91" s="20">
        <v>66</v>
      </c>
      <c r="C91" s="97" t="s">
        <v>563</v>
      </c>
      <c r="D91" s="11" t="s">
        <v>505</v>
      </c>
      <c r="E91" s="13" t="e">
        <f>#REF!</f>
        <v>#REF!</v>
      </c>
      <c r="F91" s="13" t="e">
        <f>#REF!</f>
        <v>#REF!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 t="e">
        <f>#REF!</f>
        <v>#REF!</v>
      </c>
      <c r="N91" s="13" t="e">
        <f>#REF!</f>
        <v>#REF!</v>
      </c>
      <c r="O91" s="13" t="e">
        <f>#REF!</f>
        <v>#REF!</v>
      </c>
      <c r="P91" s="13" t="e">
        <f>#REF!</f>
        <v>#REF!</v>
      </c>
      <c r="Q91" s="13" t="e">
        <f>#REF!</f>
        <v>#REF!</v>
      </c>
    </row>
    <row r="92" spans="2:17" ht="142.5" thickBot="1">
      <c r="B92" s="10">
        <v>67</v>
      </c>
      <c r="C92" s="97" t="s">
        <v>564</v>
      </c>
      <c r="D92" s="11" t="s">
        <v>505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</row>
    <row r="93" spans="2:17" ht="95.25" thickBot="1">
      <c r="B93" s="20">
        <v>68</v>
      </c>
      <c r="C93" s="97" t="s">
        <v>565</v>
      </c>
      <c r="D93" s="11" t="s">
        <v>505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</row>
    <row r="94" spans="2:17" ht="142.5" thickBot="1">
      <c r="B94" s="20">
        <v>69</v>
      </c>
      <c r="C94" s="97" t="s">
        <v>566</v>
      </c>
      <c r="D94" s="11" t="s">
        <v>505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</row>
    <row r="95" spans="2:17" ht="95.25" thickBot="1">
      <c r="B95" s="10">
        <v>70</v>
      </c>
      <c r="C95" s="97" t="s">
        <v>567</v>
      </c>
      <c r="D95" s="11" t="s">
        <v>505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</row>
    <row r="96" spans="2:17" ht="158.25" thickBot="1">
      <c r="B96" s="10">
        <v>71</v>
      </c>
      <c r="C96" s="97" t="s">
        <v>568</v>
      </c>
      <c r="D96" s="11" t="s">
        <v>505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</row>
    <row r="97" spans="2:17" ht="95.25" thickBot="1">
      <c r="B97" s="10">
        <v>72</v>
      </c>
      <c r="C97" s="97" t="s">
        <v>569</v>
      </c>
      <c r="D97" s="11" t="s">
        <v>505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</row>
    <row r="98" spans="2:17" ht="58.5" customHeight="1" thickBot="1">
      <c r="B98" s="10">
        <v>73</v>
      </c>
      <c r="C98" s="97" t="s">
        <v>570</v>
      </c>
      <c r="D98" s="15" t="s">
        <v>571</v>
      </c>
      <c r="E98" s="100" t="e">
        <f>#REF!</f>
        <v>#REF!</v>
      </c>
      <c r="F98" s="100" t="e">
        <f>#REF!</f>
        <v>#REF!</v>
      </c>
      <c r="G98" s="100" t="e">
        <f>#REF!</f>
        <v>#REF!</v>
      </c>
      <c r="H98" s="98"/>
      <c r="I98" s="3"/>
      <c r="J98" s="3"/>
      <c r="K98" s="3"/>
      <c r="L98" s="3"/>
      <c r="M98" s="3"/>
      <c r="N98" s="3"/>
      <c r="O98" s="3"/>
      <c r="P98" s="3"/>
      <c r="Q98" s="3"/>
    </row>
    <row r="99" spans="2:17" ht="48.75" customHeight="1" thickBot="1">
      <c r="B99" s="10">
        <v>74</v>
      </c>
      <c r="C99" s="97" t="s">
        <v>572</v>
      </c>
      <c r="D99" s="15" t="s">
        <v>573</v>
      </c>
      <c r="E99" s="100" t="e">
        <f>#REF!</f>
        <v>#REF!</v>
      </c>
      <c r="F99" s="100" t="e">
        <f>#REF!</f>
        <v>#REF!</v>
      </c>
      <c r="G99" s="100" t="e">
        <f>#REF!</f>
        <v>#REF!</v>
      </c>
      <c r="H99" s="98"/>
      <c r="I99" s="3"/>
      <c r="J99" s="3"/>
      <c r="K99" s="3"/>
      <c r="L99" s="3"/>
      <c r="M99" s="3"/>
      <c r="N99" s="3"/>
      <c r="O99" s="3"/>
      <c r="P99" s="3"/>
      <c r="Q99" s="3"/>
    </row>
    <row r="100" spans="2:17" ht="54.75" customHeight="1" thickBot="1">
      <c r="B100" s="10">
        <v>75</v>
      </c>
      <c r="C100" s="97" t="s">
        <v>574</v>
      </c>
      <c r="D100" s="15" t="s">
        <v>515</v>
      </c>
      <c r="E100" s="100" t="e">
        <f>#REF!</f>
        <v>#REF!</v>
      </c>
      <c r="F100" s="100" t="e">
        <f>#REF!</f>
        <v>#REF!</v>
      </c>
      <c r="G100" s="100" t="e">
        <f>#REF!</f>
        <v>#REF!</v>
      </c>
      <c r="H100" s="98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47.25" customHeight="1" thickBot="1">
      <c r="B101" s="10">
        <v>76</v>
      </c>
      <c r="C101" s="97" t="s">
        <v>575</v>
      </c>
      <c r="D101" s="15" t="s">
        <v>576</v>
      </c>
      <c r="E101" s="100" t="e">
        <f>#REF!</f>
        <v>#REF!</v>
      </c>
      <c r="F101" s="100" t="e">
        <f>#REF!</f>
        <v>#REF!</v>
      </c>
      <c r="G101" s="100" t="e">
        <f>#REF!</f>
        <v>#REF!</v>
      </c>
      <c r="H101" s="98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48.75" customHeight="1" thickBot="1">
      <c r="B102" s="10">
        <v>77</v>
      </c>
      <c r="C102" s="97" t="s">
        <v>577</v>
      </c>
      <c r="D102" s="15" t="s">
        <v>545</v>
      </c>
      <c r="E102" s="100" t="e">
        <f>#REF!</f>
        <v>#REF!</v>
      </c>
      <c r="F102" s="100" t="e">
        <f>#REF!</f>
        <v>#REF!</v>
      </c>
      <c r="G102" s="100" t="e">
        <f>#REF!</f>
        <v>#REF!</v>
      </c>
      <c r="H102" s="98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54.75" customHeight="1" thickBot="1">
      <c r="B103" s="10">
        <v>78</v>
      </c>
      <c r="C103" s="97" t="s">
        <v>578</v>
      </c>
      <c r="D103" s="15" t="s">
        <v>515</v>
      </c>
      <c r="E103" s="100" t="e">
        <f>#REF!</f>
        <v>#REF!</v>
      </c>
      <c r="F103" s="100" t="e">
        <f>#REF!</f>
        <v>#REF!</v>
      </c>
      <c r="G103" s="100" t="e">
        <f>#REF!</f>
        <v>#REF!</v>
      </c>
      <c r="H103" s="98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6.75" thickBot="1">
      <c r="B104" s="10">
        <v>79</v>
      </c>
      <c r="C104" s="97" t="s">
        <v>587</v>
      </c>
      <c r="D104" s="15" t="s">
        <v>526</v>
      </c>
      <c r="E104" s="100" t="e">
        <f>#REF!</f>
        <v>#REF!</v>
      </c>
      <c r="F104" s="100" t="e">
        <f>#REF!</f>
        <v>#REF!</v>
      </c>
      <c r="G104" s="100" t="e">
        <f>#REF!</f>
        <v>#REF!</v>
      </c>
      <c r="H104" s="98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205.5" thickBot="1">
      <c r="B105" s="10">
        <v>80</v>
      </c>
      <c r="C105" s="97" t="s">
        <v>4</v>
      </c>
      <c r="D105" s="11" t="s">
        <v>526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2.75"/>
    <row r="107" ht="12.75">
      <c r="C107" s="24" t="s">
        <v>392</v>
      </c>
    </row>
    <row r="108" spans="3:17" ht="16.5" thickBot="1">
      <c r="C108" s="51" t="s">
        <v>391</v>
      </c>
      <c r="E108" s="26">
        <v>2007</v>
      </c>
      <c r="F108" s="26">
        <v>2008</v>
      </c>
      <c r="G108" s="26">
        <v>2009</v>
      </c>
      <c r="H108" s="26">
        <v>2010</v>
      </c>
      <c r="I108" s="26">
        <v>2011</v>
      </c>
      <c r="J108" s="26">
        <v>2012</v>
      </c>
      <c r="K108" s="26">
        <v>2013</v>
      </c>
      <c r="L108" s="26">
        <v>2014</v>
      </c>
      <c r="M108" s="26">
        <v>2015</v>
      </c>
      <c r="N108" s="26">
        <v>2016</v>
      </c>
      <c r="O108" s="26">
        <v>2017</v>
      </c>
      <c r="P108" s="26">
        <v>2018</v>
      </c>
      <c r="Q108" s="26">
        <v>2019</v>
      </c>
    </row>
    <row r="109" spans="2:17" ht="16.5" thickBot="1">
      <c r="B109" s="36"/>
      <c r="C109" s="47" t="s">
        <v>396</v>
      </c>
      <c r="D109" s="42" t="s">
        <v>503</v>
      </c>
      <c r="E109" s="52" t="e">
        <f>E41</f>
        <v>#REF!</v>
      </c>
      <c r="F109" s="52" t="e">
        <f aca="true" t="shared" si="33" ref="F109:Q109">F41</f>
        <v>#REF!</v>
      </c>
      <c r="G109" s="52" t="e">
        <f t="shared" si="33"/>
        <v>#REF!</v>
      </c>
      <c r="H109" s="52" t="e">
        <f t="shared" si="33"/>
        <v>#REF!</v>
      </c>
      <c r="I109" s="52" t="e">
        <f t="shared" si="33"/>
        <v>#REF!</v>
      </c>
      <c r="J109" s="52" t="e">
        <f t="shared" si="33"/>
        <v>#REF!</v>
      </c>
      <c r="K109" s="52" t="e">
        <f t="shared" si="33"/>
        <v>#REF!</v>
      </c>
      <c r="L109" s="52" t="e">
        <f t="shared" si="33"/>
        <v>#REF!</v>
      </c>
      <c r="M109" s="52" t="e">
        <f t="shared" si="33"/>
        <v>#REF!</v>
      </c>
      <c r="N109" s="52" t="e">
        <f t="shared" si="33"/>
        <v>#REF!</v>
      </c>
      <c r="O109" s="52" t="e">
        <f t="shared" si="33"/>
        <v>#REF!</v>
      </c>
      <c r="P109" s="53" t="e">
        <f t="shared" si="33"/>
        <v>#REF!</v>
      </c>
      <c r="Q109" s="54" t="e">
        <f t="shared" si="33"/>
        <v>#REF!</v>
      </c>
    </row>
    <row r="110" spans="2:17" ht="15.75">
      <c r="B110" s="37"/>
      <c r="C110" s="48" t="s">
        <v>393</v>
      </c>
      <c r="D110" s="43" t="s">
        <v>503</v>
      </c>
      <c r="E110" s="55"/>
      <c r="F110" s="55"/>
      <c r="G110" s="55"/>
      <c r="H110" s="55" t="e">
        <f>G109-H109</f>
        <v>#REF!</v>
      </c>
      <c r="I110" s="55" t="e">
        <f aca="true" t="shared" si="34" ref="I110:Q110">H109-I109</f>
        <v>#REF!</v>
      </c>
      <c r="J110" s="55" t="e">
        <f t="shared" si="34"/>
        <v>#REF!</v>
      </c>
      <c r="K110" s="55" t="e">
        <f t="shared" si="34"/>
        <v>#REF!</v>
      </c>
      <c r="L110" s="55" t="e">
        <f t="shared" si="34"/>
        <v>#REF!</v>
      </c>
      <c r="M110" s="55" t="e">
        <f t="shared" si="34"/>
        <v>#REF!</v>
      </c>
      <c r="N110" s="55" t="e">
        <f t="shared" si="34"/>
        <v>#REF!</v>
      </c>
      <c r="O110" s="55" t="e">
        <f t="shared" si="34"/>
        <v>#REF!</v>
      </c>
      <c r="P110" s="55" t="e">
        <f t="shared" si="34"/>
        <v>#REF!</v>
      </c>
      <c r="Q110" s="55" t="e">
        <f t="shared" si="34"/>
        <v>#REF!</v>
      </c>
    </row>
    <row r="111" spans="2:17" ht="16.5" thickBot="1">
      <c r="B111" s="38"/>
      <c r="C111" s="49" t="s">
        <v>395</v>
      </c>
      <c r="D111" s="44" t="s">
        <v>496</v>
      </c>
      <c r="E111" s="35"/>
      <c r="F111" s="35"/>
      <c r="G111" s="35"/>
      <c r="H111" s="96" t="e">
        <f>H110*0.143</f>
        <v>#REF!</v>
      </c>
      <c r="I111" s="96" t="e">
        <f aca="true" t="shared" si="35" ref="I111:Q111">I110*0.143</f>
        <v>#REF!</v>
      </c>
      <c r="J111" s="96" t="e">
        <f t="shared" si="35"/>
        <v>#REF!</v>
      </c>
      <c r="K111" s="96" t="e">
        <f t="shared" si="35"/>
        <v>#REF!</v>
      </c>
      <c r="L111" s="96" t="e">
        <f t="shared" si="35"/>
        <v>#REF!</v>
      </c>
      <c r="M111" s="96" t="e">
        <f t="shared" si="35"/>
        <v>#REF!</v>
      </c>
      <c r="N111" s="96" t="e">
        <f t="shared" si="35"/>
        <v>#REF!</v>
      </c>
      <c r="O111" s="96" t="e">
        <f t="shared" si="35"/>
        <v>#REF!</v>
      </c>
      <c r="P111" s="96" t="e">
        <f t="shared" si="35"/>
        <v>#REF!</v>
      </c>
      <c r="Q111" s="96" t="e">
        <f t="shared" si="35"/>
        <v>#REF!</v>
      </c>
    </row>
    <row r="112" spans="2:17" ht="32.25" thickBot="1">
      <c r="B112" s="387"/>
      <c r="C112" s="130" t="s">
        <v>469</v>
      </c>
      <c r="D112" s="388"/>
      <c r="E112" s="389"/>
      <c r="F112" s="389"/>
      <c r="G112" s="389"/>
      <c r="H112" s="390"/>
      <c r="I112" s="390"/>
      <c r="J112" s="390"/>
      <c r="K112" s="390"/>
      <c r="L112" s="390"/>
      <c r="M112" s="390"/>
      <c r="N112" s="390"/>
      <c r="O112" s="390"/>
      <c r="P112" s="390"/>
      <c r="Q112" s="391"/>
    </row>
    <row r="113" spans="2:17" ht="25.5" customHeight="1">
      <c r="B113" s="39"/>
      <c r="C113" s="50" t="s">
        <v>397</v>
      </c>
      <c r="D113" s="45" t="s">
        <v>515</v>
      </c>
      <c r="E113" s="33" t="e">
        <f>E51</f>
        <v>#REF!</v>
      </c>
      <c r="F113" s="33" t="e">
        <f aca="true" t="shared" si="36" ref="F113:Q113">F51</f>
        <v>#REF!</v>
      </c>
      <c r="G113" s="90" t="e">
        <f t="shared" si="36"/>
        <v>#REF!</v>
      </c>
      <c r="H113" s="34" t="e">
        <f t="shared" si="36"/>
        <v>#REF!</v>
      </c>
      <c r="I113" s="34" t="e">
        <f t="shared" si="36"/>
        <v>#REF!</v>
      </c>
      <c r="J113" s="34" t="e">
        <f t="shared" si="36"/>
        <v>#REF!</v>
      </c>
      <c r="K113" s="34" t="e">
        <f t="shared" si="36"/>
        <v>#REF!</v>
      </c>
      <c r="L113" s="34" t="e">
        <f t="shared" si="36"/>
        <v>#REF!</v>
      </c>
      <c r="M113" s="34" t="e">
        <f t="shared" si="36"/>
        <v>#REF!</v>
      </c>
      <c r="N113" s="34" t="e">
        <f t="shared" si="36"/>
        <v>#REF!</v>
      </c>
      <c r="O113" s="34" t="e">
        <f t="shared" si="36"/>
        <v>#REF!</v>
      </c>
      <c r="P113" s="34" t="e">
        <f t="shared" si="36"/>
        <v>#REF!</v>
      </c>
      <c r="Q113" s="386" t="e">
        <f t="shared" si="36"/>
        <v>#REF!</v>
      </c>
    </row>
    <row r="114" spans="2:17" ht="25.5" customHeight="1">
      <c r="B114" s="37"/>
      <c r="C114" s="48" t="s">
        <v>393</v>
      </c>
      <c r="D114" s="45" t="s">
        <v>515</v>
      </c>
      <c r="E114" s="30"/>
      <c r="F114" s="30"/>
      <c r="G114" s="30"/>
      <c r="H114" s="30" t="e">
        <f>$E$113-H113</f>
        <v>#REF!</v>
      </c>
      <c r="I114" s="30" t="e">
        <f aca="true" t="shared" si="37" ref="I114:Q114">$E$113-I113</f>
        <v>#REF!</v>
      </c>
      <c r="J114" s="30" t="e">
        <f t="shared" si="37"/>
        <v>#REF!</v>
      </c>
      <c r="K114" s="30" t="e">
        <f t="shared" si="37"/>
        <v>#REF!</v>
      </c>
      <c r="L114" s="30" t="e">
        <f t="shared" si="37"/>
        <v>#REF!</v>
      </c>
      <c r="M114" s="30" t="e">
        <f t="shared" si="37"/>
        <v>#REF!</v>
      </c>
      <c r="N114" s="30" t="e">
        <f t="shared" si="37"/>
        <v>#REF!</v>
      </c>
      <c r="O114" s="30" t="e">
        <f t="shared" si="37"/>
        <v>#REF!</v>
      </c>
      <c r="P114" s="30" t="e">
        <f t="shared" si="37"/>
        <v>#REF!</v>
      </c>
      <c r="Q114" s="30" t="e">
        <f t="shared" si="37"/>
        <v>#REF!</v>
      </c>
    </row>
    <row r="115" spans="2:17" ht="25.5" customHeight="1" thickBot="1">
      <c r="B115" s="38"/>
      <c r="C115" s="49" t="s">
        <v>395</v>
      </c>
      <c r="D115" s="44" t="s">
        <v>496</v>
      </c>
      <c r="E115" s="31"/>
      <c r="F115" s="31"/>
      <c r="G115" s="31"/>
      <c r="H115" s="32" t="e">
        <f>((H114/1000)*0.123)</f>
        <v>#REF!</v>
      </c>
      <c r="I115" s="32" t="e">
        <f aca="true" t="shared" si="38" ref="I115:Q115">((I114/1000)*0.123)</f>
        <v>#REF!</v>
      </c>
      <c r="J115" s="32" t="e">
        <f t="shared" si="38"/>
        <v>#REF!</v>
      </c>
      <c r="K115" s="32" t="e">
        <f t="shared" si="38"/>
        <v>#REF!</v>
      </c>
      <c r="L115" s="32" t="e">
        <f t="shared" si="38"/>
        <v>#REF!</v>
      </c>
      <c r="M115" s="32" t="e">
        <f t="shared" si="38"/>
        <v>#REF!</v>
      </c>
      <c r="N115" s="32" t="e">
        <f t="shared" si="38"/>
        <v>#REF!</v>
      </c>
      <c r="O115" s="32" t="e">
        <f t="shared" si="38"/>
        <v>#REF!</v>
      </c>
      <c r="P115" s="32" t="e">
        <f t="shared" si="38"/>
        <v>#REF!</v>
      </c>
      <c r="Q115" s="32" t="e">
        <f t="shared" si="38"/>
        <v>#REF!</v>
      </c>
    </row>
    <row r="116" spans="2:17" ht="55.5" customHeight="1">
      <c r="B116" s="39">
        <v>31</v>
      </c>
      <c r="C116" s="50" t="s">
        <v>398</v>
      </c>
      <c r="D116" s="46" t="s">
        <v>482</v>
      </c>
      <c r="E116" s="28" t="e">
        <f>E56</f>
        <v>#REF!</v>
      </c>
      <c r="F116" s="28" t="e">
        <f aca="true" t="shared" si="39" ref="F116:Q116">F56</f>
        <v>#REF!</v>
      </c>
      <c r="G116" s="28" t="e">
        <f t="shared" si="39"/>
        <v>#REF!</v>
      </c>
      <c r="H116" s="28" t="e">
        <f t="shared" si="39"/>
        <v>#REF!</v>
      </c>
      <c r="I116" s="28" t="e">
        <f t="shared" si="39"/>
        <v>#REF!</v>
      </c>
      <c r="J116" s="28" t="e">
        <f t="shared" si="39"/>
        <v>#REF!</v>
      </c>
      <c r="K116" s="28" t="e">
        <f t="shared" si="39"/>
        <v>#REF!</v>
      </c>
      <c r="L116" s="28" t="e">
        <f t="shared" si="39"/>
        <v>#REF!</v>
      </c>
      <c r="M116" s="28" t="e">
        <f t="shared" si="39"/>
        <v>#REF!</v>
      </c>
      <c r="N116" s="28" t="e">
        <f t="shared" si="39"/>
        <v>#REF!</v>
      </c>
      <c r="O116" s="28" t="e">
        <f t="shared" si="39"/>
        <v>#REF!</v>
      </c>
      <c r="P116" s="28" t="e">
        <f t="shared" si="39"/>
        <v>#REF!</v>
      </c>
      <c r="Q116" s="29" t="e">
        <f t="shared" si="39"/>
        <v>#REF!</v>
      </c>
    </row>
    <row r="117" spans="2:17" ht="31.5">
      <c r="B117" s="40"/>
      <c r="C117" s="48" t="s">
        <v>393</v>
      </c>
      <c r="D117" s="46" t="s">
        <v>482</v>
      </c>
      <c r="E117" s="3"/>
      <c r="F117" s="3"/>
      <c r="G117" s="3"/>
      <c r="H117" s="3" t="e">
        <f>G116-H116</f>
        <v>#REF!</v>
      </c>
      <c r="I117" s="3" t="e">
        <f aca="true" t="shared" si="40" ref="I117:Q117">H116-I116</f>
        <v>#REF!</v>
      </c>
      <c r="J117" s="3" t="e">
        <f t="shared" si="40"/>
        <v>#REF!</v>
      </c>
      <c r="K117" s="3" t="e">
        <f t="shared" si="40"/>
        <v>#REF!</v>
      </c>
      <c r="L117" s="3" t="e">
        <f t="shared" si="40"/>
        <v>#REF!</v>
      </c>
      <c r="M117" s="3" t="e">
        <f t="shared" si="40"/>
        <v>#REF!</v>
      </c>
      <c r="N117" s="3" t="e">
        <f t="shared" si="40"/>
        <v>#REF!</v>
      </c>
      <c r="O117" s="3" t="e">
        <f t="shared" si="40"/>
        <v>#REF!</v>
      </c>
      <c r="P117" s="3" t="e">
        <f t="shared" si="40"/>
        <v>#REF!</v>
      </c>
      <c r="Q117" s="3" t="e">
        <f t="shared" si="40"/>
        <v>#REF!</v>
      </c>
    </row>
    <row r="118" spans="2:17" ht="16.5" thickBot="1">
      <c r="B118" s="41"/>
      <c r="C118" s="56" t="s">
        <v>395</v>
      </c>
      <c r="D118" s="57" t="s">
        <v>496</v>
      </c>
      <c r="E118" s="58"/>
      <c r="F118" s="58"/>
      <c r="G118" s="58"/>
      <c r="H118" s="59" t="e">
        <f>H117*1.137</f>
        <v>#REF!</v>
      </c>
      <c r="I118" s="59" t="e">
        <f aca="true" t="shared" si="41" ref="I118:Q118">I117*1.137</f>
        <v>#REF!</v>
      </c>
      <c r="J118" s="59" t="e">
        <f t="shared" si="41"/>
        <v>#REF!</v>
      </c>
      <c r="K118" s="59" t="e">
        <f t="shared" si="41"/>
        <v>#REF!</v>
      </c>
      <c r="L118" s="59" t="e">
        <f t="shared" si="41"/>
        <v>#REF!</v>
      </c>
      <c r="M118" s="59" t="e">
        <f t="shared" si="41"/>
        <v>#REF!</v>
      </c>
      <c r="N118" s="59" t="e">
        <f t="shared" si="41"/>
        <v>#REF!</v>
      </c>
      <c r="O118" s="59" t="e">
        <f t="shared" si="41"/>
        <v>#REF!</v>
      </c>
      <c r="P118" s="59" t="e">
        <f t="shared" si="41"/>
        <v>#REF!</v>
      </c>
      <c r="Q118" s="59" t="e">
        <f t="shared" si="41"/>
        <v>#REF!</v>
      </c>
    </row>
    <row r="119" spans="3:17" ht="12.75">
      <c r="C119" s="367" t="s">
        <v>399</v>
      </c>
      <c r="D119" s="361" t="s">
        <v>496</v>
      </c>
      <c r="E119" s="361"/>
      <c r="F119" s="361"/>
      <c r="G119" s="361"/>
      <c r="H119" s="368" t="e">
        <f>H111+H115+H118</f>
        <v>#REF!</v>
      </c>
      <c r="I119" s="368" t="e">
        <f aca="true" t="shared" si="42" ref="I119:Q119">I111+I115+I118</f>
        <v>#REF!</v>
      </c>
      <c r="J119" s="368" t="e">
        <f t="shared" si="42"/>
        <v>#REF!</v>
      </c>
      <c r="K119" s="368" t="e">
        <f t="shared" si="42"/>
        <v>#REF!</v>
      </c>
      <c r="L119" s="368" t="e">
        <f t="shared" si="42"/>
        <v>#REF!</v>
      </c>
      <c r="M119" s="368" t="e">
        <f t="shared" si="42"/>
        <v>#REF!</v>
      </c>
      <c r="N119" s="368" t="e">
        <f t="shared" si="42"/>
        <v>#REF!</v>
      </c>
      <c r="O119" s="368" t="e">
        <f t="shared" si="42"/>
        <v>#REF!</v>
      </c>
      <c r="P119" s="368" t="e">
        <f t="shared" si="42"/>
        <v>#REF!</v>
      </c>
      <c r="Q119" s="369" t="e">
        <f t="shared" si="42"/>
        <v>#REF!</v>
      </c>
    </row>
    <row r="120" spans="3:17" ht="12.75">
      <c r="C120" s="6" t="s">
        <v>592</v>
      </c>
      <c r="D120" s="3" t="s">
        <v>482</v>
      </c>
      <c r="E120" s="3" t="e">
        <f>E46</f>
        <v>#REF!</v>
      </c>
      <c r="F120" s="3" t="e">
        <f aca="true" t="shared" si="43" ref="F120:Q120">F46</f>
        <v>#REF!</v>
      </c>
      <c r="G120" s="3" t="e">
        <f t="shared" si="43"/>
        <v>#REF!</v>
      </c>
      <c r="H120" s="3" t="e">
        <f t="shared" si="43"/>
        <v>#REF!</v>
      </c>
      <c r="I120" s="3" t="e">
        <f t="shared" si="43"/>
        <v>#REF!</v>
      </c>
      <c r="J120" s="3" t="e">
        <f t="shared" si="43"/>
        <v>#REF!</v>
      </c>
      <c r="K120" s="3" t="e">
        <f t="shared" si="43"/>
        <v>#REF!</v>
      </c>
      <c r="L120" s="3" t="e">
        <f t="shared" si="43"/>
        <v>#REF!</v>
      </c>
      <c r="M120" s="3" t="e">
        <f t="shared" si="43"/>
        <v>#REF!</v>
      </c>
      <c r="N120" s="3" t="e">
        <f t="shared" si="43"/>
        <v>#REF!</v>
      </c>
      <c r="O120" s="3" t="e">
        <f t="shared" si="43"/>
        <v>#REF!</v>
      </c>
      <c r="P120" s="3" t="e">
        <f t="shared" si="43"/>
        <v>#REF!</v>
      </c>
      <c r="Q120" s="3" t="e">
        <f t="shared" si="43"/>
        <v>#REF!</v>
      </c>
    </row>
    <row r="121" spans="3:17" ht="12.75">
      <c r="C121" s="6" t="s">
        <v>593</v>
      </c>
      <c r="D121" s="3" t="s">
        <v>482</v>
      </c>
      <c r="E121" s="3"/>
      <c r="F121" s="3"/>
      <c r="G121" s="3"/>
      <c r="H121" s="370" t="e">
        <f>G120-H120</f>
        <v>#REF!</v>
      </c>
      <c r="I121" s="370" t="e">
        <f aca="true" t="shared" si="44" ref="I121:Q121">H120-I120</f>
        <v>#REF!</v>
      </c>
      <c r="J121" s="370" t="e">
        <f t="shared" si="44"/>
        <v>#REF!</v>
      </c>
      <c r="K121" s="370" t="e">
        <f t="shared" si="44"/>
        <v>#REF!</v>
      </c>
      <c r="L121" s="370" t="e">
        <f t="shared" si="44"/>
        <v>#REF!</v>
      </c>
      <c r="M121" s="370" t="e">
        <f t="shared" si="44"/>
        <v>#REF!</v>
      </c>
      <c r="N121" s="370" t="e">
        <f t="shared" si="44"/>
        <v>#REF!</v>
      </c>
      <c r="O121" s="370" t="e">
        <f t="shared" si="44"/>
        <v>#REF!</v>
      </c>
      <c r="P121" s="370" t="e">
        <f t="shared" si="44"/>
        <v>#REF!</v>
      </c>
      <c r="Q121" s="370" t="e">
        <f t="shared" si="44"/>
        <v>#REF!</v>
      </c>
    </row>
    <row r="122" spans="3:17" ht="12.75">
      <c r="C122" s="91"/>
      <c r="D122" s="92"/>
      <c r="E122" s="92"/>
      <c r="F122" s="92"/>
      <c r="G122" s="92"/>
      <c r="H122" s="366"/>
      <c r="I122" s="366"/>
      <c r="J122" s="366"/>
      <c r="K122" s="366"/>
      <c r="L122" s="366"/>
      <c r="M122" s="366"/>
      <c r="N122" s="366"/>
      <c r="O122" s="366"/>
      <c r="P122" s="366"/>
      <c r="Q122" s="366"/>
    </row>
    <row r="123" ht="12.75"/>
    <row r="124" spans="8:17" ht="13.5" thickBot="1">
      <c r="H124" t="e">
        <f>H127/G127</f>
        <v>#REF!</v>
      </c>
      <c r="I124" s="88" t="e">
        <f>I127/H127</f>
        <v>#REF!</v>
      </c>
      <c r="J124" s="88" t="e">
        <f>J127/I127</f>
        <v>#REF!</v>
      </c>
      <c r="K124" s="88" t="e">
        <f aca="true" t="shared" si="45" ref="K124:Q124">K127/J127</f>
        <v>#REF!</v>
      </c>
      <c r="L124" s="88" t="e">
        <f t="shared" si="45"/>
        <v>#REF!</v>
      </c>
      <c r="M124" s="88" t="e">
        <f t="shared" si="45"/>
        <v>#REF!</v>
      </c>
      <c r="N124" s="88" t="e">
        <f t="shared" si="45"/>
        <v>#REF!</v>
      </c>
      <c r="O124" s="88" t="e">
        <f t="shared" si="45"/>
        <v>#REF!</v>
      </c>
      <c r="P124" s="88" t="e">
        <f t="shared" si="45"/>
        <v>#REF!</v>
      </c>
      <c r="Q124" s="88" t="e">
        <f t="shared" si="45"/>
        <v>#REF!</v>
      </c>
    </row>
    <row r="125" spans="2:17" ht="12.75">
      <c r="B125" s="61"/>
      <c r="C125" s="66" t="s">
        <v>400</v>
      </c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3"/>
    </row>
    <row r="126" spans="2:17" ht="13.5" thickBot="1">
      <c r="B126" s="67"/>
      <c r="C126" s="68"/>
      <c r="D126" s="58"/>
      <c r="E126" s="58">
        <v>2007</v>
      </c>
      <c r="F126" s="58">
        <v>2008</v>
      </c>
      <c r="G126" s="58">
        <v>2009</v>
      </c>
      <c r="H126" s="58">
        <v>2010</v>
      </c>
      <c r="I126" s="58">
        <v>2011</v>
      </c>
      <c r="J126" s="58">
        <v>2012</v>
      </c>
      <c r="K126" s="58">
        <v>2013</v>
      </c>
      <c r="L126" s="58">
        <v>2014</v>
      </c>
      <c r="M126" s="58">
        <v>2015</v>
      </c>
      <c r="N126" s="58">
        <v>2016</v>
      </c>
      <c r="O126" s="58">
        <v>2017</v>
      </c>
      <c r="P126" s="58">
        <v>2018</v>
      </c>
      <c r="Q126" s="69">
        <v>2019</v>
      </c>
    </row>
    <row r="127" spans="2:17" ht="32.25" thickBot="1">
      <c r="B127" s="61"/>
      <c r="C127" s="50" t="s">
        <v>21</v>
      </c>
      <c r="D127" s="62" t="s">
        <v>503</v>
      </c>
      <c r="E127" s="62" t="e">
        <f>E75+E77</f>
        <v>#REF!</v>
      </c>
      <c r="F127" s="62" t="e">
        <f>F75+F77</f>
        <v>#REF!</v>
      </c>
      <c r="G127" s="62" t="e">
        <f>G75+G77</f>
        <v>#REF!</v>
      </c>
      <c r="H127" s="62" t="e">
        <f>G127*0.99</f>
        <v>#REF!</v>
      </c>
      <c r="I127" s="62" t="e">
        <f>H127*0.99</f>
        <v>#REF!</v>
      </c>
      <c r="J127" s="62" t="e">
        <f aca="true" t="shared" si="46" ref="J127:Q127">I127*0.99</f>
        <v>#REF!</v>
      </c>
      <c r="K127" s="62" t="e">
        <f t="shared" si="46"/>
        <v>#REF!</v>
      </c>
      <c r="L127" s="62" t="e">
        <f t="shared" si="46"/>
        <v>#REF!</v>
      </c>
      <c r="M127" s="62" t="e">
        <f t="shared" si="46"/>
        <v>#REF!</v>
      </c>
      <c r="N127" s="62" t="e">
        <f t="shared" si="46"/>
        <v>#REF!</v>
      </c>
      <c r="O127" s="62" t="e">
        <f t="shared" si="46"/>
        <v>#REF!</v>
      </c>
      <c r="P127" s="62" t="e">
        <f t="shared" si="46"/>
        <v>#REF!</v>
      </c>
      <c r="Q127" s="62" t="e">
        <f t="shared" si="46"/>
        <v>#REF!</v>
      </c>
    </row>
    <row r="128" spans="2:17" ht="16.5" thickBot="1">
      <c r="B128" s="72"/>
      <c r="C128" s="50"/>
      <c r="D128" s="62"/>
      <c r="E128" s="73"/>
      <c r="F128" s="73"/>
      <c r="G128" s="73" t="e">
        <f>G129/G127</f>
        <v>#REF!</v>
      </c>
      <c r="H128" s="73">
        <v>0.43</v>
      </c>
      <c r="I128" s="78">
        <v>0.48</v>
      </c>
      <c r="J128" s="78">
        <v>0.542</v>
      </c>
      <c r="K128" s="78">
        <v>0.61</v>
      </c>
      <c r="L128" s="78">
        <v>0.6671</v>
      </c>
      <c r="M128" s="78">
        <v>0.96</v>
      </c>
      <c r="N128" s="78">
        <v>1</v>
      </c>
      <c r="O128" s="73" t="e">
        <f>O129/O127</f>
        <v>#REF!</v>
      </c>
      <c r="P128" s="73" t="e">
        <f>P129/P127</f>
        <v>#REF!</v>
      </c>
      <c r="Q128" s="73" t="e">
        <f>Q129/Q127</f>
        <v>#REF!</v>
      </c>
    </row>
    <row r="129" spans="2:17" ht="32.25" thickBot="1">
      <c r="B129" s="72"/>
      <c r="C129" s="50" t="s">
        <v>190</v>
      </c>
      <c r="D129" s="62" t="s">
        <v>503</v>
      </c>
      <c r="E129" s="393" t="e">
        <f>E76+E78</f>
        <v>#REF!</v>
      </c>
      <c r="F129" s="393" t="e">
        <f>F76+F78</f>
        <v>#REF!</v>
      </c>
      <c r="G129" s="393" t="e">
        <f>G76+G78</f>
        <v>#REF!</v>
      </c>
      <c r="H129" s="394" t="e">
        <f aca="true" t="shared" si="47" ref="H129:N129">H127*H128</f>
        <v>#REF!</v>
      </c>
      <c r="I129" s="394" t="e">
        <f t="shared" si="47"/>
        <v>#REF!</v>
      </c>
      <c r="J129" s="394" t="e">
        <f t="shared" si="47"/>
        <v>#REF!</v>
      </c>
      <c r="K129" s="394" t="e">
        <f t="shared" si="47"/>
        <v>#REF!</v>
      </c>
      <c r="L129" s="394" t="e">
        <f t="shared" si="47"/>
        <v>#REF!</v>
      </c>
      <c r="M129" s="345" t="e">
        <f t="shared" si="47"/>
        <v>#REF!</v>
      </c>
      <c r="N129" s="345" t="e">
        <f t="shared" si="47"/>
        <v>#REF!</v>
      </c>
      <c r="O129" s="344" t="e">
        <f>O127</f>
        <v>#REF!</v>
      </c>
      <c r="P129" s="344" t="e">
        <f>P127</f>
        <v>#REF!</v>
      </c>
      <c r="Q129" s="344" t="e">
        <f>Q127</f>
        <v>#REF!</v>
      </c>
    </row>
    <row r="130" spans="2:17" ht="31.5">
      <c r="B130" s="72"/>
      <c r="C130" s="50" t="s">
        <v>371</v>
      </c>
      <c r="D130" s="62" t="s">
        <v>503</v>
      </c>
      <c r="E130" s="73"/>
      <c r="F130" s="73"/>
      <c r="G130" s="74" t="e">
        <f>G129-$E$129</f>
        <v>#REF!</v>
      </c>
      <c r="H130" s="74" t="e">
        <f>H129-$E$129</f>
        <v>#REF!</v>
      </c>
      <c r="I130" s="74" t="e">
        <f aca="true" t="shared" si="48" ref="I130:Q130">I129-$E$129</f>
        <v>#REF!</v>
      </c>
      <c r="J130" s="74" t="e">
        <f t="shared" si="48"/>
        <v>#REF!</v>
      </c>
      <c r="K130" s="74" t="e">
        <f t="shared" si="48"/>
        <v>#REF!</v>
      </c>
      <c r="L130" s="74" t="e">
        <f t="shared" si="48"/>
        <v>#REF!</v>
      </c>
      <c r="M130" s="74" t="e">
        <f t="shared" si="48"/>
        <v>#REF!</v>
      </c>
      <c r="N130" s="74" t="e">
        <f t="shared" si="48"/>
        <v>#REF!</v>
      </c>
      <c r="O130" s="74" t="e">
        <f t="shared" si="48"/>
        <v>#REF!</v>
      </c>
      <c r="P130" s="74" t="e">
        <f t="shared" si="48"/>
        <v>#REF!</v>
      </c>
      <c r="Q130" s="74" t="e">
        <f t="shared" si="48"/>
        <v>#REF!</v>
      </c>
    </row>
    <row r="131" spans="2:17" ht="47.25">
      <c r="B131" s="64"/>
      <c r="C131" s="50" t="s">
        <v>441</v>
      </c>
      <c r="D131" s="3" t="s">
        <v>503</v>
      </c>
      <c r="E131" s="3"/>
      <c r="F131" s="3"/>
      <c r="G131" s="70" t="e">
        <f>G130*0.04</f>
        <v>#REF!</v>
      </c>
      <c r="H131" s="70" t="e">
        <f>H130*0.04</f>
        <v>#REF!</v>
      </c>
      <c r="I131" s="70" t="e">
        <f>I130*0.04</f>
        <v>#REF!</v>
      </c>
      <c r="J131" s="70" t="e">
        <f>J130*0.04</f>
        <v>#REF!</v>
      </c>
      <c r="K131" s="70" t="e">
        <f>K130*0.04</f>
        <v>#REF!</v>
      </c>
      <c r="L131" s="70" t="e">
        <f>L130*0.05</f>
        <v>#REF!</v>
      </c>
      <c r="M131" s="70" t="e">
        <f>M130*0.06</f>
        <v>#REF!</v>
      </c>
      <c r="N131" s="70" t="e">
        <f>N130*0.08</f>
        <v>#REF!</v>
      </c>
      <c r="O131" s="70" t="e">
        <f>O130*0.08</f>
        <v>#REF!</v>
      </c>
      <c r="P131" s="70" t="e">
        <f>P130*0.1</f>
        <v>#REF!</v>
      </c>
      <c r="Q131" s="70" t="e">
        <f>Q130*0.1</f>
        <v>#REF!</v>
      </c>
    </row>
    <row r="132" spans="2:17" ht="16.5" thickBot="1">
      <c r="B132" s="65"/>
      <c r="C132" s="278" t="s">
        <v>395</v>
      </c>
      <c r="D132" s="58" t="s">
        <v>496</v>
      </c>
      <c r="E132" s="58"/>
      <c r="F132" s="58"/>
      <c r="G132" s="58"/>
      <c r="H132" s="59" t="e">
        <f aca="true" t="shared" si="49" ref="H132:Q132">H131*0.143</f>
        <v>#REF!</v>
      </c>
      <c r="I132" s="59" t="e">
        <f t="shared" si="49"/>
        <v>#REF!</v>
      </c>
      <c r="J132" s="59" t="e">
        <f t="shared" si="49"/>
        <v>#REF!</v>
      </c>
      <c r="K132" s="59" t="e">
        <f t="shared" si="49"/>
        <v>#REF!</v>
      </c>
      <c r="L132" s="59" t="e">
        <f t="shared" si="49"/>
        <v>#REF!</v>
      </c>
      <c r="M132" s="59" t="e">
        <f t="shared" si="49"/>
        <v>#REF!</v>
      </c>
      <c r="N132" s="59" t="e">
        <f t="shared" si="49"/>
        <v>#REF!</v>
      </c>
      <c r="O132" s="59" t="e">
        <f t="shared" si="49"/>
        <v>#REF!</v>
      </c>
      <c r="P132" s="59" t="e">
        <f t="shared" si="49"/>
        <v>#REF!</v>
      </c>
      <c r="Q132" s="279" t="e">
        <f t="shared" si="49"/>
        <v>#REF!</v>
      </c>
    </row>
    <row r="133" spans="2:17" ht="47.25">
      <c r="B133" s="225"/>
      <c r="C133" s="280" t="s">
        <v>455</v>
      </c>
      <c r="D133" s="112" t="s">
        <v>503</v>
      </c>
      <c r="E133" s="112"/>
      <c r="F133" s="112"/>
      <c r="G133" s="112"/>
      <c r="H133" s="281" t="e">
        <f>H127-H131</f>
        <v>#REF!</v>
      </c>
      <c r="I133" s="281" t="e">
        <f aca="true" t="shared" si="50" ref="I133:Q133">I127-I131</f>
        <v>#REF!</v>
      </c>
      <c r="J133" s="281" t="e">
        <f t="shared" si="50"/>
        <v>#REF!</v>
      </c>
      <c r="K133" s="281" t="e">
        <f t="shared" si="50"/>
        <v>#REF!</v>
      </c>
      <c r="L133" s="281" t="e">
        <f t="shared" si="50"/>
        <v>#REF!</v>
      </c>
      <c r="M133" s="395" t="e">
        <f t="shared" si="50"/>
        <v>#REF!</v>
      </c>
      <c r="N133" s="392" t="e">
        <f t="shared" si="50"/>
        <v>#REF!</v>
      </c>
      <c r="O133" s="281" t="e">
        <f t="shared" si="50"/>
        <v>#REF!</v>
      </c>
      <c r="P133" s="281" t="e">
        <f t="shared" si="50"/>
        <v>#REF!</v>
      </c>
      <c r="Q133" s="281" t="e">
        <f t="shared" si="50"/>
        <v>#REF!</v>
      </c>
    </row>
    <row r="134" spans="2:17" ht="16.5" thickBot="1">
      <c r="B134" s="225"/>
      <c r="C134" s="282" t="s">
        <v>550</v>
      </c>
      <c r="D134" s="157" t="s">
        <v>503</v>
      </c>
      <c r="E134" s="176"/>
      <c r="F134" s="176"/>
      <c r="G134" s="176"/>
      <c r="H134" s="283" t="e">
        <f>H131-G131</f>
        <v>#REF!</v>
      </c>
      <c r="I134" s="283" t="e">
        <f>H133-I133</f>
        <v>#REF!</v>
      </c>
      <c r="J134" s="283" t="e">
        <f>I133-J133</f>
        <v>#REF!</v>
      </c>
      <c r="K134" s="283" t="e">
        <f>J133-K133</f>
        <v>#REF!</v>
      </c>
      <c r="L134" s="283" t="e">
        <f>K133-L133</f>
        <v>#REF!</v>
      </c>
      <c r="M134" s="283" t="e">
        <f>L133-M133</f>
        <v>#REF!</v>
      </c>
      <c r="N134" s="283">
        <v>0</v>
      </c>
      <c r="O134" s="283">
        <v>0</v>
      </c>
      <c r="P134" s="283">
        <v>0</v>
      </c>
      <c r="Q134" s="283">
        <v>0</v>
      </c>
    </row>
    <row r="135" spans="2:17" ht="32.25" thickBot="1">
      <c r="B135" s="61"/>
      <c r="C135" s="50" t="s">
        <v>407</v>
      </c>
      <c r="D135" s="73" t="s">
        <v>515</v>
      </c>
      <c r="E135" s="73" t="e">
        <f>E70+E72</f>
        <v>#REF!</v>
      </c>
      <c r="F135" s="73" t="e">
        <f aca="true" t="shared" si="51" ref="F135:Q135">F70+F72</f>
        <v>#REF!</v>
      </c>
      <c r="G135" s="73" t="e">
        <f t="shared" si="51"/>
        <v>#REF!</v>
      </c>
      <c r="H135" s="73" t="e">
        <f t="shared" si="51"/>
        <v>#REF!</v>
      </c>
      <c r="I135" s="73" t="e">
        <f t="shared" si="51"/>
        <v>#REF!</v>
      </c>
      <c r="J135" s="73" t="e">
        <f t="shared" si="51"/>
        <v>#REF!</v>
      </c>
      <c r="K135" s="73" t="e">
        <f t="shared" si="51"/>
        <v>#REF!</v>
      </c>
      <c r="L135" s="73" t="e">
        <f t="shared" si="51"/>
        <v>#REF!</v>
      </c>
      <c r="M135" s="73" t="e">
        <f t="shared" si="51"/>
        <v>#REF!</v>
      </c>
      <c r="N135" s="73" t="e">
        <f t="shared" si="51"/>
        <v>#REF!</v>
      </c>
      <c r="O135" s="73" t="e">
        <f t="shared" si="51"/>
        <v>#REF!</v>
      </c>
      <c r="P135" s="73" t="e">
        <f t="shared" si="51"/>
        <v>#REF!</v>
      </c>
      <c r="Q135" s="73" t="e">
        <f t="shared" si="51"/>
        <v>#REF!</v>
      </c>
    </row>
    <row r="136" spans="2:17" ht="32.25" thickBot="1">
      <c r="B136" s="72"/>
      <c r="C136" s="50" t="s">
        <v>411</v>
      </c>
      <c r="D136" s="62" t="s">
        <v>515</v>
      </c>
      <c r="E136" s="73" t="e">
        <f>E71+E74</f>
        <v>#REF!</v>
      </c>
      <c r="F136" s="73" t="e">
        <f>F71+F74</f>
        <v>#REF!</v>
      </c>
      <c r="G136" s="73" t="e">
        <f>G71+G74</f>
        <v>#REF!</v>
      </c>
      <c r="H136" s="73" t="e">
        <f>H71+H73+H74</f>
        <v>#REF!</v>
      </c>
      <c r="I136" s="73" t="e">
        <f>I135</f>
        <v>#REF!</v>
      </c>
      <c r="J136" s="73" t="e">
        <f aca="true" t="shared" si="52" ref="J136:Q136">J135</f>
        <v>#REF!</v>
      </c>
      <c r="K136" s="73" t="e">
        <f t="shared" si="52"/>
        <v>#REF!</v>
      </c>
      <c r="L136" s="73" t="e">
        <f t="shared" si="52"/>
        <v>#REF!</v>
      </c>
      <c r="M136" s="73" t="e">
        <f t="shared" si="52"/>
        <v>#REF!</v>
      </c>
      <c r="N136" s="73" t="e">
        <f t="shared" si="52"/>
        <v>#REF!</v>
      </c>
      <c r="O136" s="73" t="e">
        <f t="shared" si="52"/>
        <v>#REF!</v>
      </c>
      <c r="P136" s="73" t="e">
        <f t="shared" si="52"/>
        <v>#REF!</v>
      </c>
      <c r="Q136" s="73" t="e">
        <f t="shared" si="52"/>
        <v>#REF!</v>
      </c>
    </row>
    <row r="137" spans="2:17" ht="15.75">
      <c r="B137" s="64"/>
      <c r="C137" s="50" t="s">
        <v>393</v>
      </c>
      <c r="D137" s="62" t="s">
        <v>515</v>
      </c>
      <c r="E137" s="3" t="e">
        <f>E135-E136</f>
        <v>#REF!</v>
      </c>
      <c r="F137" s="3" t="e">
        <f aca="true" t="shared" si="53" ref="F137:Q137">F135-F136</f>
        <v>#REF!</v>
      </c>
      <c r="G137" s="3" t="e">
        <f t="shared" si="53"/>
        <v>#REF!</v>
      </c>
      <c r="H137" s="3" t="e">
        <f t="shared" si="53"/>
        <v>#REF!</v>
      </c>
      <c r="I137" s="3" t="e">
        <f t="shared" si="53"/>
        <v>#REF!</v>
      </c>
      <c r="J137" s="3" t="e">
        <f t="shared" si="53"/>
        <v>#REF!</v>
      </c>
      <c r="K137" s="3" t="e">
        <f t="shared" si="53"/>
        <v>#REF!</v>
      </c>
      <c r="L137" s="3" t="e">
        <f t="shared" si="53"/>
        <v>#REF!</v>
      </c>
      <c r="M137" s="3" t="e">
        <f t="shared" si="53"/>
        <v>#REF!</v>
      </c>
      <c r="N137" s="3" t="e">
        <f t="shared" si="53"/>
        <v>#REF!</v>
      </c>
      <c r="O137" s="3" t="e">
        <f t="shared" si="53"/>
        <v>#REF!</v>
      </c>
      <c r="P137" s="3" t="e">
        <f t="shared" si="53"/>
        <v>#REF!</v>
      </c>
      <c r="Q137" s="3" t="e">
        <f t="shared" si="53"/>
        <v>#REF!</v>
      </c>
    </row>
    <row r="138" spans="2:17" ht="16.5" thickBot="1">
      <c r="B138" s="65"/>
      <c r="C138" s="50" t="s">
        <v>395</v>
      </c>
      <c r="D138" s="25" t="s">
        <v>496</v>
      </c>
      <c r="E138" s="25"/>
      <c r="F138" s="25"/>
      <c r="G138" s="25"/>
      <c r="H138" s="75" t="e">
        <f>H137*0.123/1000</f>
        <v>#REF!</v>
      </c>
      <c r="I138" s="75" t="e">
        <f aca="true" t="shared" si="54" ref="I138:Q138">I137*0.123/1000</f>
        <v>#REF!</v>
      </c>
      <c r="J138" s="75" t="e">
        <f t="shared" si="54"/>
        <v>#REF!</v>
      </c>
      <c r="K138" s="75" t="e">
        <f t="shared" si="54"/>
        <v>#REF!</v>
      </c>
      <c r="L138" s="75" t="e">
        <f t="shared" si="54"/>
        <v>#REF!</v>
      </c>
      <c r="M138" s="75" t="e">
        <f t="shared" si="54"/>
        <v>#REF!</v>
      </c>
      <c r="N138" s="75" t="e">
        <f t="shared" si="54"/>
        <v>#REF!</v>
      </c>
      <c r="O138" s="75" t="e">
        <f t="shared" si="54"/>
        <v>#REF!</v>
      </c>
      <c r="P138" s="75" t="e">
        <f t="shared" si="54"/>
        <v>#REF!</v>
      </c>
      <c r="Q138" s="75" t="e">
        <f t="shared" si="54"/>
        <v>#REF!</v>
      </c>
    </row>
    <row r="139" spans="2:17" ht="12.75">
      <c r="B139" s="225"/>
      <c r="C139" s="226"/>
      <c r="D139" s="125"/>
      <c r="E139" s="125"/>
      <c r="F139" s="125"/>
      <c r="G139" s="125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</row>
    <row r="140" spans="2:17" ht="13.5" thickBot="1">
      <c r="B140" s="225"/>
      <c r="C140" s="226"/>
      <c r="D140" s="125"/>
      <c r="E140" s="125"/>
      <c r="F140" s="125"/>
      <c r="G140" s="125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</row>
    <row r="141" spans="2:18" ht="39" thickBot="1">
      <c r="B141" s="506" t="s">
        <v>585</v>
      </c>
      <c r="C141" s="258" t="s">
        <v>69</v>
      </c>
      <c r="D141" s="297" t="s">
        <v>482</v>
      </c>
      <c r="E141" s="298" t="e">
        <f>E86+E84</f>
        <v>#REF!</v>
      </c>
      <c r="F141" s="62" t="e">
        <f aca="true" t="shared" si="55" ref="F141:Q141">F86+F84</f>
        <v>#REF!</v>
      </c>
      <c r="G141" s="62" t="e">
        <f t="shared" si="55"/>
        <v>#REF!</v>
      </c>
      <c r="H141" s="62" t="e">
        <f t="shared" si="55"/>
        <v>#REF!</v>
      </c>
      <c r="I141" s="79" t="e">
        <f t="shared" si="55"/>
        <v>#REF!</v>
      </c>
      <c r="J141" s="79" t="e">
        <f t="shared" si="55"/>
        <v>#REF!</v>
      </c>
      <c r="K141" s="79" t="e">
        <f t="shared" si="55"/>
        <v>#REF!</v>
      </c>
      <c r="L141" s="79" t="e">
        <f t="shared" si="55"/>
        <v>#REF!</v>
      </c>
      <c r="M141" s="79" t="e">
        <f t="shared" si="55"/>
        <v>#REF!</v>
      </c>
      <c r="N141" s="79" t="e">
        <f t="shared" si="55"/>
        <v>#REF!</v>
      </c>
      <c r="O141" s="79" t="e">
        <f t="shared" si="55"/>
        <v>#REF!</v>
      </c>
      <c r="P141" s="79" t="e">
        <f t="shared" si="55"/>
        <v>#REF!</v>
      </c>
      <c r="Q141" s="79" t="e">
        <f t="shared" si="55"/>
        <v>#REF!</v>
      </c>
      <c r="R141" t="s">
        <v>73</v>
      </c>
    </row>
    <row r="142" spans="2:17" ht="76.5">
      <c r="B142" s="507"/>
      <c r="C142" s="181" t="s">
        <v>36</v>
      </c>
      <c r="D142" s="297" t="s">
        <v>482</v>
      </c>
      <c r="E142" s="3" t="e">
        <f aca="true" t="shared" si="56" ref="E142:G143">E147</f>
        <v>#REF!</v>
      </c>
      <c r="F142" s="3" t="e">
        <f t="shared" si="56"/>
        <v>#REF!</v>
      </c>
      <c r="G142" s="3" t="e">
        <f t="shared" si="56"/>
        <v>#REF!</v>
      </c>
      <c r="H142" s="74" t="e">
        <f>G142</f>
        <v>#REF!</v>
      </c>
      <c r="I142" s="74" t="e">
        <f>H142*1.002</f>
        <v>#REF!</v>
      </c>
      <c r="J142" s="74" t="e">
        <f>I142*1.002*0.97</f>
        <v>#REF!</v>
      </c>
      <c r="K142" s="74" t="e">
        <f aca="true" t="shared" si="57" ref="K142:Q142">J142*0.95*1.002</f>
        <v>#REF!</v>
      </c>
      <c r="L142" s="74" t="e">
        <f t="shared" si="57"/>
        <v>#REF!</v>
      </c>
      <c r="M142" s="74" t="e">
        <f t="shared" si="57"/>
        <v>#REF!</v>
      </c>
      <c r="N142" s="74" t="e">
        <f t="shared" si="57"/>
        <v>#REF!</v>
      </c>
      <c r="O142" s="74" t="e">
        <f t="shared" si="57"/>
        <v>#REF!</v>
      </c>
      <c r="P142" s="74" t="e">
        <f t="shared" si="57"/>
        <v>#REF!</v>
      </c>
      <c r="Q142" s="74" t="e">
        <f t="shared" si="57"/>
        <v>#REF!</v>
      </c>
    </row>
    <row r="143" spans="2:17" ht="25.5">
      <c r="B143" s="507"/>
      <c r="C143" s="326" t="s">
        <v>40</v>
      </c>
      <c r="D143" s="327" t="s">
        <v>482</v>
      </c>
      <c r="E143" s="328" t="e">
        <f t="shared" si="56"/>
        <v>#REF!</v>
      </c>
      <c r="F143" s="329" t="e">
        <f t="shared" si="56"/>
        <v>#REF!</v>
      </c>
      <c r="G143" s="329" t="e">
        <f t="shared" si="56"/>
        <v>#REF!</v>
      </c>
      <c r="H143" s="330" t="e">
        <f>H142*0.7</f>
        <v>#REF!</v>
      </c>
      <c r="I143" s="330" t="e">
        <f>I142*0.7</f>
        <v>#REF!</v>
      </c>
      <c r="J143" s="330" t="e">
        <f>J142*0.8</f>
        <v>#REF!</v>
      </c>
      <c r="K143" s="330" t="e">
        <f>K142*0.89</f>
        <v>#REF!</v>
      </c>
      <c r="L143" s="330" t="e">
        <f>L142*0.98</f>
        <v>#REF!</v>
      </c>
      <c r="M143" s="330" t="e">
        <f>M142</f>
        <v>#REF!</v>
      </c>
      <c r="N143" s="330" t="e">
        <f>N142</f>
        <v>#REF!</v>
      </c>
      <c r="O143" s="330" t="e">
        <f>O142</f>
        <v>#REF!</v>
      </c>
      <c r="P143" s="330" t="e">
        <f>P142</f>
        <v>#REF!</v>
      </c>
      <c r="Q143" s="330" t="e">
        <f>Q142</f>
        <v>#REF!</v>
      </c>
    </row>
    <row r="144" spans="2:17" ht="25.5">
      <c r="B144" s="507"/>
      <c r="C144" s="263" t="s">
        <v>595</v>
      </c>
      <c r="D144" s="299" t="s">
        <v>482</v>
      </c>
      <c r="E144" s="296"/>
      <c r="F144" s="74" t="e">
        <f>(F143-$E$143)*0.1</f>
        <v>#REF!</v>
      </c>
      <c r="G144" s="74" t="e">
        <f>(G143-$E$143)*0.1</f>
        <v>#REF!</v>
      </c>
      <c r="H144" s="74" t="e">
        <f>(H143-$E$143)*0.1</f>
        <v>#REF!</v>
      </c>
      <c r="I144" s="74" t="e">
        <f>(I143-$E$143)*0.1</f>
        <v>#REF!</v>
      </c>
      <c r="J144" s="74" t="e">
        <f>(J143-$E$143)*0.15</f>
        <v>#REF!</v>
      </c>
      <c r="K144" s="74" t="e">
        <f>(K143-$E$143)*0.15</f>
        <v>#REF!</v>
      </c>
      <c r="L144" s="74" t="e">
        <f>(L143-$E$143)*0.15</f>
        <v>#REF!</v>
      </c>
      <c r="M144" s="74" t="e">
        <f>(M143-$E$143)*0.16</f>
        <v>#REF!</v>
      </c>
      <c r="N144" s="74" t="e">
        <f>(N143-$E$143)*0.15</f>
        <v>#REF!</v>
      </c>
      <c r="O144" s="74" t="e">
        <f>(O143-$E$143)*0.15</f>
        <v>#REF!</v>
      </c>
      <c r="P144" s="74" t="e">
        <f>(P143-$E$143)*0.15</f>
        <v>#REF!</v>
      </c>
      <c r="Q144" s="74" t="e">
        <f>(Q143-$E$143)*0.15</f>
        <v>#REF!</v>
      </c>
    </row>
    <row r="145" spans="2:17" ht="38.25">
      <c r="B145" s="507"/>
      <c r="C145" s="265" t="s">
        <v>596</v>
      </c>
      <c r="D145" s="112" t="s">
        <v>482</v>
      </c>
      <c r="E145" s="295"/>
      <c r="F145" s="295"/>
      <c r="G145" s="295"/>
      <c r="H145" s="295" t="e">
        <f aca="true" t="shared" si="58" ref="H145:M145">H144-G144</f>
        <v>#REF!</v>
      </c>
      <c r="I145" s="295" t="e">
        <f t="shared" si="58"/>
        <v>#REF!</v>
      </c>
      <c r="J145" s="295" t="e">
        <f t="shared" si="58"/>
        <v>#REF!</v>
      </c>
      <c r="K145" s="295" t="e">
        <f t="shared" si="58"/>
        <v>#REF!</v>
      </c>
      <c r="L145" s="295" t="e">
        <f t="shared" si="58"/>
        <v>#REF!</v>
      </c>
      <c r="M145" s="295" t="e">
        <f t="shared" si="58"/>
        <v>#REF!</v>
      </c>
      <c r="N145" s="295">
        <v>0</v>
      </c>
      <c r="O145" s="295">
        <v>0</v>
      </c>
      <c r="P145" s="295">
        <v>0</v>
      </c>
      <c r="Q145" s="295">
        <v>0</v>
      </c>
    </row>
    <row r="146" spans="2:17" ht="51">
      <c r="B146" s="507"/>
      <c r="C146" s="200" t="s">
        <v>37</v>
      </c>
      <c r="D146" s="270" t="s">
        <v>482</v>
      </c>
      <c r="E146" s="176" t="e">
        <f>E142</f>
        <v>#REF!</v>
      </c>
      <c r="F146" s="176" t="e">
        <f>F142</f>
        <v>#REF!</v>
      </c>
      <c r="G146" s="176" t="e">
        <f>G142</f>
        <v>#REF!</v>
      </c>
      <c r="H146" s="316" t="e">
        <f aca="true" t="shared" si="59" ref="H146:Q146">H142-H144</f>
        <v>#REF!</v>
      </c>
      <c r="I146" s="316" t="e">
        <f t="shared" si="59"/>
        <v>#REF!</v>
      </c>
      <c r="J146" s="316" t="e">
        <f t="shared" si="59"/>
        <v>#REF!</v>
      </c>
      <c r="K146" s="316" t="e">
        <f t="shared" si="59"/>
        <v>#REF!</v>
      </c>
      <c r="L146" s="316" t="e">
        <f t="shared" si="59"/>
        <v>#REF!</v>
      </c>
      <c r="M146" s="320" t="e">
        <f t="shared" si="59"/>
        <v>#REF!</v>
      </c>
      <c r="N146" s="316" t="e">
        <f t="shared" si="59"/>
        <v>#REF!</v>
      </c>
      <c r="O146" s="316" t="e">
        <f t="shared" si="59"/>
        <v>#REF!</v>
      </c>
      <c r="P146" s="316" t="e">
        <f t="shared" si="59"/>
        <v>#REF!</v>
      </c>
      <c r="Q146" s="316" t="e">
        <f t="shared" si="59"/>
        <v>#REF!</v>
      </c>
    </row>
    <row r="147" spans="2:17" ht="51">
      <c r="B147" s="507"/>
      <c r="C147" s="321" t="s">
        <v>39</v>
      </c>
      <c r="D147" s="322" t="s">
        <v>482</v>
      </c>
      <c r="E147" s="323" t="e">
        <f>E84</f>
        <v>#REF!</v>
      </c>
      <c r="F147" s="324" t="e">
        <f>F84</f>
        <v>#REF!</v>
      </c>
      <c r="G147" s="324" t="e">
        <f>$G$84</f>
        <v>#REF!</v>
      </c>
      <c r="H147" s="325" t="e">
        <f>H146+('тэр районы'!S20/3)*0.5</f>
        <v>#REF!</v>
      </c>
      <c r="I147" s="325" t="e">
        <f>I146+(('тэр районы'!S20/3)*0.7)</f>
        <v>#REF!</v>
      </c>
      <c r="J147" s="325" t="e">
        <f>J146+('тэр районы'!$S$20)*0.2</f>
        <v>#REF!</v>
      </c>
      <c r="K147" s="325" t="e">
        <f>K146+('тэр районы'!$S$20)*0.38</f>
        <v>#REF!</v>
      </c>
      <c r="L147" s="325" t="e">
        <f>L146+('тэр районы'!$S$20)*0.62</f>
        <v>#REF!</v>
      </c>
      <c r="M147" s="325" t="e">
        <f>M146+('тэр районы'!$S$20)</f>
        <v>#REF!</v>
      </c>
      <c r="N147" s="325" t="e">
        <f>N146+('тэр районы'!$S$20)</f>
        <v>#REF!</v>
      </c>
      <c r="O147" s="325" t="e">
        <f>O146+('тэр районы'!$S$20)</f>
        <v>#REF!</v>
      </c>
      <c r="P147" s="325" t="e">
        <f>P146+('тэр районы'!$S$20)</f>
        <v>#REF!</v>
      </c>
      <c r="Q147" s="325" t="e">
        <f>Q146+('тэр районы'!$S$20)</f>
        <v>#REF!</v>
      </c>
    </row>
    <row r="148" spans="2:17" ht="25.5">
      <c r="B148" s="507"/>
      <c r="C148" s="331" t="s">
        <v>38</v>
      </c>
      <c r="D148" s="331" t="s">
        <v>482</v>
      </c>
      <c r="E148" s="338" t="e">
        <f>E85</f>
        <v>#REF!</v>
      </c>
      <c r="F148" s="338" t="e">
        <f>F85</f>
        <v>#REF!</v>
      </c>
      <c r="G148" s="338" t="e">
        <f>G85</f>
        <v>#REF!</v>
      </c>
      <c r="H148" s="339" t="e">
        <f>H147*0.7</f>
        <v>#REF!</v>
      </c>
      <c r="I148" s="339" t="e">
        <f>I147*0.78</f>
        <v>#REF!</v>
      </c>
      <c r="J148" s="339" t="e">
        <f>J147</f>
        <v>#REF!</v>
      </c>
      <c r="K148" s="339" t="e">
        <f aca="true" t="shared" si="60" ref="K148:Q148">K147</f>
        <v>#REF!</v>
      </c>
      <c r="L148" s="339" t="e">
        <f t="shared" si="60"/>
        <v>#REF!</v>
      </c>
      <c r="M148" s="339" t="e">
        <f t="shared" si="60"/>
        <v>#REF!</v>
      </c>
      <c r="N148" s="339" t="e">
        <f t="shared" si="60"/>
        <v>#REF!</v>
      </c>
      <c r="O148" s="339" t="e">
        <f t="shared" si="60"/>
        <v>#REF!</v>
      </c>
      <c r="P148" s="339" t="e">
        <f t="shared" si="60"/>
        <v>#REF!</v>
      </c>
      <c r="Q148" s="339" t="e">
        <f t="shared" si="60"/>
        <v>#REF!</v>
      </c>
    </row>
    <row r="149" spans="2:17" ht="38.25">
      <c r="B149" s="507"/>
      <c r="C149" s="263" t="s">
        <v>597</v>
      </c>
      <c r="D149" s="181" t="s">
        <v>482</v>
      </c>
      <c r="E149" s="73" t="e">
        <f>(E148-$E$148)*0.15</f>
        <v>#REF!</v>
      </c>
      <c r="F149" s="78" t="e">
        <f>(F148-$E$148)*0.1</f>
        <v>#REF!</v>
      </c>
      <c r="G149" s="78" t="e">
        <f aca="true" t="shared" si="61" ref="G149:P149">(G148-$E$148)*0.1</f>
        <v>#REF!</v>
      </c>
      <c r="H149" s="78" t="e">
        <f t="shared" si="61"/>
        <v>#REF!</v>
      </c>
      <c r="I149" s="78" t="e">
        <f t="shared" si="61"/>
        <v>#REF!</v>
      </c>
      <c r="J149" s="78" t="e">
        <f t="shared" si="61"/>
        <v>#REF!</v>
      </c>
      <c r="K149" s="78" t="e">
        <f t="shared" si="61"/>
        <v>#REF!</v>
      </c>
      <c r="L149" s="78" t="e">
        <f t="shared" si="61"/>
        <v>#REF!</v>
      </c>
      <c r="M149" s="78" t="e">
        <f t="shared" si="61"/>
        <v>#REF!</v>
      </c>
      <c r="N149" s="78" t="e">
        <f t="shared" si="61"/>
        <v>#REF!</v>
      </c>
      <c r="O149" s="78" t="e">
        <f t="shared" si="61"/>
        <v>#REF!</v>
      </c>
      <c r="P149" s="78" t="e">
        <f t="shared" si="61"/>
        <v>#REF!</v>
      </c>
      <c r="Q149" s="78" t="e">
        <f>(Q148-$E$148)*0.1</f>
        <v>#REF!</v>
      </c>
    </row>
    <row r="150" s="302" customFormat="1" ht="12.75">
      <c r="B150" s="507"/>
    </row>
    <row r="151" spans="2:17" ht="39" thickBot="1">
      <c r="B151" s="507"/>
      <c r="C151" s="265" t="s">
        <v>227</v>
      </c>
      <c r="D151" s="265" t="s">
        <v>496</v>
      </c>
      <c r="E151" s="271"/>
      <c r="F151" s="271"/>
      <c r="G151" s="272"/>
      <c r="H151" s="272" t="e">
        <f>H144*1.137</f>
        <v>#REF!</v>
      </c>
      <c r="I151" s="272" t="e">
        <f aca="true" t="shared" si="62" ref="I151:Q151">I144*1.137</f>
        <v>#REF!</v>
      </c>
      <c r="J151" s="272" t="e">
        <f t="shared" si="62"/>
        <v>#REF!</v>
      </c>
      <c r="K151" s="272" t="e">
        <f t="shared" si="62"/>
        <v>#REF!</v>
      </c>
      <c r="L151" s="272" t="e">
        <f t="shared" si="62"/>
        <v>#REF!</v>
      </c>
      <c r="M151" s="272" t="e">
        <f t="shared" si="62"/>
        <v>#REF!</v>
      </c>
      <c r="N151" s="272" t="e">
        <f t="shared" si="62"/>
        <v>#REF!</v>
      </c>
      <c r="O151" s="272" t="e">
        <f t="shared" si="62"/>
        <v>#REF!</v>
      </c>
      <c r="P151" s="272" t="e">
        <f t="shared" si="62"/>
        <v>#REF!</v>
      </c>
      <c r="Q151" s="272" t="e">
        <f t="shared" si="62"/>
        <v>#REF!</v>
      </c>
    </row>
    <row r="152" spans="2:17" ht="51.75" thickBot="1">
      <c r="B152" s="508"/>
      <c r="C152" s="332" t="s">
        <v>41</v>
      </c>
      <c r="D152" s="333" t="s">
        <v>482</v>
      </c>
      <c r="E152" s="334" t="e">
        <f>E147</f>
        <v>#REF!</v>
      </c>
      <c r="F152" s="334" t="e">
        <f aca="true" t="shared" si="63" ref="F152:Q152">F147</f>
        <v>#REF!</v>
      </c>
      <c r="G152" s="334" t="e">
        <f t="shared" si="63"/>
        <v>#REF!</v>
      </c>
      <c r="H152" s="334" t="e">
        <f t="shared" si="63"/>
        <v>#REF!</v>
      </c>
      <c r="I152" s="334" t="e">
        <f t="shared" si="63"/>
        <v>#REF!</v>
      </c>
      <c r="J152" s="334" t="e">
        <f t="shared" si="63"/>
        <v>#REF!</v>
      </c>
      <c r="K152" s="334" t="e">
        <f t="shared" si="63"/>
        <v>#REF!</v>
      </c>
      <c r="L152" s="334" t="e">
        <f t="shared" si="63"/>
        <v>#REF!</v>
      </c>
      <c r="M152" s="334" t="e">
        <f t="shared" si="63"/>
        <v>#REF!</v>
      </c>
      <c r="N152" s="334" t="e">
        <f t="shared" si="63"/>
        <v>#REF!</v>
      </c>
      <c r="O152" s="334" t="e">
        <f t="shared" si="63"/>
        <v>#REF!</v>
      </c>
      <c r="P152" s="334" t="e">
        <f t="shared" si="63"/>
        <v>#REF!</v>
      </c>
      <c r="Q152" s="334" t="e">
        <f t="shared" si="63"/>
        <v>#REF!</v>
      </c>
    </row>
    <row r="153" ht="13.5" thickBot="1">
      <c r="B153" s="264"/>
    </row>
    <row r="154" spans="2:17" ht="38.25">
      <c r="B154" s="509" t="s">
        <v>586</v>
      </c>
      <c r="C154" s="305" t="s">
        <v>71</v>
      </c>
      <c r="D154" s="306" t="s">
        <v>482</v>
      </c>
      <c r="E154" s="307" t="e">
        <f aca="true" t="shared" si="64" ref="E154:G155">E86</f>
        <v>#REF!</v>
      </c>
      <c r="F154" s="307" t="e">
        <f t="shared" si="64"/>
        <v>#REF!</v>
      </c>
      <c r="G154" s="307" t="e">
        <f t="shared" si="64"/>
        <v>#REF!</v>
      </c>
      <c r="H154" s="346" t="e">
        <f>G154</f>
        <v>#REF!</v>
      </c>
      <c r="I154" s="346" t="e">
        <f>H154*1.014*0.96</f>
        <v>#REF!</v>
      </c>
      <c r="J154" s="346" t="e">
        <f>I154*0.98</f>
        <v>#REF!</v>
      </c>
      <c r="K154" s="346" t="e">
        <f>J154*0.98</f>
        <v>#REF!</v>
      </c>
      <c r="L154" s="346" t="e">
        <f>K154*0.97</f>
        <v>#REF!</v>
      </c>
      <c r="M154" s="346" t="e">
        <f>L154*0.95</f>
        <v>#REF!</v>
      </c>
      <c r="N154" s="346" t="e">
        <f>M154*0.97</f>
        <v>#REF!</v>
      </c>
      <c r="O154" s="346" t="e">
        <f>N154*0.97</f>
        <v>#REF!</v>
      </c>
      <c r="P154" s="346" t="e">
        <f>O154*0.97</f>
        <v>#REF!</v>
      </c>
      <c r="Q154" s="346" t="e">
        <f>P154*0.97</f>
        <v>#REF!</v>
      </c>
    </row>
    <row r="155" spans="2:17" ht="51">
      <c r="B155" s="510"/>
      <c r="C155" s="343" t="s">
        <v>429</v>
      </c>
      <c r="D155" s="181" t="s">
        <v>482</v>
      </c>
      <c r="E155" s="340" t="e">
        <f t="shared" si="64"/>
        <v>#REF!</v>
      </c>
      <c r="F155" s="340" t="e">
        <f t="shared" si="64"/>
        <v>#REF!</v>
      </c>
      <c r="G155" s="340" t="e">
        <f t="shared" si="64"/>
        <v>#REF!</v>
      </c>
      <c r="H155" s="341" t="e">
        <f>H154*0.43</f>
        <v>#REF!</v>
      </c>
      <c r="I155" s="341" t="e">
        <f>I154*0.8</f>
        <v>#REF!</v>
      </c>
      <c r="J155" s="77" t="e">
        <f>J154</f>
        <v>#REF!</v>
      </c>
      <c r="K155" s="77" t="e">
        <f aca="true" t="shared" si="65" ref="K155:Q155">K154</f>
        <v>#REF!</v>
      </c>
      <c r="L155" s="77" t="e">
        <f t="shared" si="65"/>
        <v>#REF!</v>
      </c>
      <c r="M155" s="77" t="e">
        <f t="shared" si="65"/>
        <v>#REF!</v>
      </c>
      <c r="N155" s="77" t="e">
        <f t="shared" si="65"/>
        <v>#REF!</v>
      </c>
      <c r="O155" s="77" t="e">
        <f t="shared" si="65"/>
        <v>#REF!</v>
      </c>
      <c r="P155" s="77" t="e">
        <f t="shared" si="65"/>
        <v>#REF!</v>
      </c>
      <c r="Q155" s="308" t="e">
        <f t="shared" si="65"/>
        <v>#REF!</v>
      </c>
    </row>
    <row r="156" spans="2:17" ht="25.5">
      <c r="B156" s="510"/>
      <c r="C156" s="309" t="s">
        <v>384</v>
      </c>
      <c r="D156" s="181" t="s">
        <v>482</v>
      </c>
      <c r="E156" s="70" t="e">
        <f>(E155-$E$155)*0.15</f>
        <v>#REF!</v>
      </c>
      <c r="F156" s="105">
        <v>0</v>
      </c>
      <c r="G156" s="105" t="e">
        <f>(G155-F155)*0.1</f>
        <v>#REF!</v>
      </c>
      <c r="H156" s="105" t="e">
        <f>(H155-$E$155)*0.1</f>
        <v>#REF!</v>
      </c>
      <c r="I156" s="105" t="e">
        <f aca="true" t="shared" si="66" ref="I156:Q156">(I155-$E$155)*0.1</f>
        <v>#REF!</v>
      </c>
      <c r="J156" s="105" t="e">
        <f t="shared" si="66"/>
        <v>#REF!</v>
      </c>
      <c r="K156" s="105" t="e">
        <f t="shared" si="66"/>
        <v>#REF!</v>
      </c>
      <c r="L156" s="105" t="e">
        <f t="shared" si="66"/>
        <v>#REF!</v>
      </c>
      <c r="M156" s="105" t="e">
        <f t="shared" si="66"/>
        <v>#REF!</v>
      </c>
      <c r="N156" s="105" t="e">
        <f t="shared" si="66"/>
        <v>#REF!</v>
      </c>
      <c r="O156" s="105" t="e">
        <f t="shared" si="66"/>
        <v>#REF!</v>
      </c>
      <c r="P156" s="105" t="e">
        <f t="shared" si="66"/>
        <v>#REF!</v>
      </c>
      <c r="Q156" s="105" t="e">
        <f t="shared" si="66"/>
        <v>#REF!</v>
      </c>
    </row>
    <row r="157" spans="2:17" ht="12.75">
      <c r="B157" s="510"/>
      <c r="C157" s="310" t="s">
        <v>60</v>
      </c>
      <c r="D157" s="270"/>
      <c r="E157" s="178"/>
      <c r="F157" s="178"/>
      <c r="G157" s="178"/>
      <c r="H157" s="178" t="e">
        <f>H156-G156</f>
        <v>#REF!</v>
      </c>
      <c r="I157" s="178" t="e">
        <f>I156-H156</f>
        <v>#REF!</v>
      </c>
      <c r="J157" s="178" t="e">
        <f>J156-I156</f>
        <v>#REF!</v>
      </c>
      <c r="K157" s="178">
        <v>0</v>
      </c>
      <c r="L157" s="178">
        <v>0</v>
      </c>
      <c r="M157" s="178">
        <v>0</v>
      </c>
      <c r="N157" s="178">
        <v>0</v>
      </c>
      <c r="O157" s="178">
        <v>0</v>
      </c>
      <c r="P157" s="178">
        <v>0</v>
      </c>
      <c r="Q157" s="311">
        <v>0</v>
      </c>
    </row>
    <row r="158" spans="2:17" ht="26.25" thickBot="1">
      <c r="B158" s="510"/>
      <c r="C158" s="312" t="s">
        <v>255</v>
      </c>
      <c r="D158" s="313" t="s">
        <v>482</v>
      </c>
      <c r="E158" s="314" t="e">
        <f>E156+E149</f>
        <v>#REF!</v>
      </c>
      <c r="F158" s="314" t="e">
        <f>F156+F144</f>
        <v>#REF!</v>
      </c>
      <c r="G158" s="314" t="e">
        <f>G156+G144</f>
        <v>#REF!</v>
      </c>
      <c r="H158" s="314" t="e">
        <f>H156+H144</f>
        <v>#REF!</v>
      </c>
      <c r="I158" s="314" t="e">
        <f aca="true" t="shared" si="67" ref="I158:Q158">I156+I144</f>
        <v>#REF!</v>
      </c>
      <c r="J158" s="314" t="e">
        <f t="shared" si="67"/>
        <v>#REF!</v>
      </c>
      <c r="K158" s="314" t="e">
        <f t="shared" si="67"/>
        <v>#REF!</v>
      </c>
      <c r="L158" s="314" t="e">
        <f t="shared" si="67"/>
        <v>#REF!</v>
      </c>
      <c r="M158" s="314" t="e">
        <f t="shared" si="67"/>
        <v>#REF!</v>
      </c>
      <c r="N158" s="314" t="e">
        <f t="shared" si="67"/>
        <v>#REF!</v>
      </c>
      <c r="O158" s="314" t="e">
        <f t="shared" si="67"/>
        <v>#REF!</v>
      </c>
      <c r="P158" s="314" t="e">
        <f t="shared" si="67"/>
        <v>#REF!</v>
      </c>
      <c r="Q158" s="315" t="e">
        <f t="shared" si="67"/>
        <v>#REF!</v>
      </c>
    </row>
    <row r="159" spans="2:17" ht="25.5">
      <c r="B159" s="511"/>
      <c r="C159" s="269" t="s">
        <v>74</v>
      </c>
      <c r="D159" s="268" t="s">
        <v>482</v>
      </c>
      <c r="E159" s="303"/>
      <c r="F159" s="303"/>
      <c r="G159" s="303"/>
      <c r="H159" s="304" t="e">
        <f>H157+H145</f>
        <v>#REF!</v>
      </c>
      <c r="I159" s="304" t="e">
        <f>I157+I145</f>
        <v>#REF!</v>
      </c>
      <c r="J159" s="304" t="e">
        <f>J157+J145</f>
        <v>#REF!</v>
      </c>
      <c r="K159" s="304" t="e">
        <f aca="true" t="shared" si="68" ref="K159:Q159">(J160-K160)+K145</f>
        <v>#REF!</v>
      </c>
      <c r="L159" s="304" t="e">
        <f t="shared" si="68"/>
        <v>#REF!</v>
      </c>
      <c r="M159" s="304" t="e">
        <f t="shared" si="68"/>
        <v>#REF!</v>
      </c>
      <c r="N159" s="304" t="e">
        <f t="shared" si="68"/>
        <v>#REF!</v>
      </c>
      <c r="O159" s="304" t="e">
        <f t="shared" si="68"/>
        <v>#REF!</v>
      </c>
      <c r="P159" s="304" t="e">
        <f t="shared" si="68"/>
        <v>#REF!</v>
      </c>
      <c r="Q159" s="304" t="e">
        <f t="shared" si="68"/>
        <v>#REF!</v>
      </c>
    </row>
    <row r="160" spans="2:17" s="302" customFormat="1" ht="38.25">
      <c r="B160" s="512"/>
      <c r="C160" s="301" t="s">
        <v>70</v>
      </c>
      <c r="D160" s="317" t="s">
        <v>482</v>
      </c>
      <c r="E160" s="318" t="e">
        <f>E154-E156</f>
        <v>#REF!</v>
      </c>
      <c r="F160" s="318" t="e">
        <f>F154-F156</f>
        <v>#REF!</v>
      </c>
      <c r="G160" s="318" t="e">
        <f>G154-G156</f>
        <v>#REF!</v>
      </c>
      <c r="H160" s="318" t="e">
        <f>H154-H156</f>
        <v>#REF!</v>
      </c>
      <c r="I160" s="318" t="e">
        <f aca="true" t="shared" si="69" ref="I160:Q160">I154-I156</f>
        <v>#REF!</v>
      </c>
      <c r="J160" s="342" t="e">
        <f t="shared" si="69"/>
        <v>#REF!</v>
      </c>
      <c r="K160" s="342" t="e">
        <f t="shared" si="69"/>
        <v>#REF!</v>
      </c>
      <c r="L160" s="342" t="e">
        <f t="shared" si="69"/>
        <v>#REF!</v>
      </c>
      <c r="M160" s="342" t="e">
        <f t="shared" si="69"/>
        <v>#REF!</v>
      </c>
      <c r="N160" s="342" t="e">
        <f t="shared" si="69"/>
        <v>#REF!</v>
      </c>
      <c r="O160" s="342" t="e">
        <f t="shared" si="69"/>
        <v>#REF!</v>
      </c>
      <c r="P160" s="342" t="e">
        <f t="shared" si="69"/>
        <v>#REF!</v>
      </c>
      <c r="Q160" s="342" t="e">
        <f t="shared" si="69"/>
        <v>#REF!</v>
      </c>
    </row>
    <row r="161" spans="2:17" s="302" customFormat="1" ht="51">
      <c r="B161" s="300"/>
      <c r="C161" s="301" t="s">
        <v>186</v>
      </c>
      <c r="D161" s="317" t="s">
        <v>482</v>
      </c>
      <c r="E161" s="319" t="e">
        <f>E141</f>
        <v>#REF!</v>
      </c>
      <c r="F161" s="319" t="e">
        <f>F141</f>
        <v>#REF!</v>
      </c>
      <c r="G161" s="319" t="e">
        <f>G141</f>
        <v>#REF!</v>
      </c>
      <c r="H161" s="319" t="e">
        <f>H160+H152</f>
        <v>#REF!</v>
      </c>
      <c r="I161" s="319" t="e">
        <f aca="true" t="shared" si="70" ref="I161:Q161">I160+I152</f>
        <v>#REF!</v>
      </c>
      <c r="J161" s="319" t="e">
        <f t="shared" si="70"/>
        <v>#REF!</v>
      </c>
      <c r="K161" s="319" t="e">
        <f t="shared" si="70"/>
        <v>#REF!</v>
      </c>
      <c r="L161" s="319" t="e">
        <f t="shared" si="70"/>
        <v>#REF!</v>
      </c>
      <c r="M161" s="319" t="e">
        <f t="shared" si="70"/>
        <v>#REF!</v>
      </c>
      <c r="N161" s="319" t="e">
        <f t="shared" si="70"/>
        <v>#REF!</v>
      </c>
      <c r="O161" s="319" t="e">
        <f t="shared" si="70"/>
        <v>#REF!</v>
      </c>
      <c r="P161" s="319" t="e">
        <f t="shared" si="70"/>
        <v>#REF!</v>
      </c>
      <c r="Q161" s="319" t="e">
        <f t="shared" si="70"/>
        <v>#REF!</v>
      </c>
    </row>
    <row r="162" spans="2:17" ht="12.75">
      <c r="B162" s="259"/>
      <c r="C162" s="266"/>
      <c r="D162" s="177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267"/>
    </row>
    <row r="163" spans="2:17" ht="13.5" thickBot="1">
      <c r="B163" s="65"/>
      <c r="C163" s="276" t="s">
        <v>68</v>
      </c>
      <c r="D163" s="273" t="s">
        <v>496</v>
      </c>
      <c r="E163" s="273"/>
      <c r="F163" s="273"/>
      <c r="G163" s="273"/>
      <c r="H163" s="274" t="e">
        <f aca="true" t="shared" si="71" ref="H163:Q163">H156*1.137</f>
        <v>#REF!</v>
      </c>
      <c r="I163" s="274" t="e">
        <f t="shared" si="71"/>
        <v>#REF!</v>
      </c>
      <c r="J163" s="274" t="e">
        <f t="shared" si="71"/>
        <v>#REF!</v>
      </c>
      <c r="K163" s="274" t="e">
        <f t="shared" si="71"/>
        <v>#REF!</v>
      </c>
      <c r="L163" s="274" t="e">
        <f t="shared" si="71"/>
        <v>#REF!</v>
      </c>
      <c r="M163" s="274" t="e">
        <f t="shared" si="71"/>
        <v>#REF!</v>
      </c>
      <c r="N163" s="274" t="e">
        <f t="shared" si="71"/>
        <v>#REF!</v>
      </c>
      <c r="O163" s="274" t="e">
        <f t="shared" si="71"/>
        <v>#REF!</v>
      </c>
      <c r="P163" s="274" t="e">
        <f t="shared" si="71"/>
        <v>#REF!</v>
      </c>
      <c r="Q163" s="275" t="e">
        <f t="shared" si="71"/>
        <v>#REF!</v>
      </c>
    </row>
    <row r="164" spans="2:17" ht="13.5" thickBot="1">
      <c r="B164" s="225"/>
      <c r="C164" s="277" t="s">
        <v>399</v>
      </c>
      <c r="D164" s="60"/>
      <c r="E164" s="60"/>
      <c r="F164" s="60"/>
      <c r="G164" s="60"/>
      <c r="H164" s="229" t="e">
        <f aca="true" t="shared" si="72" ref="H164:Q164">H132+H138+H151+H163</f>
        <v>#REF!</v>
      </c>
      <c r="I164" s="229" t="e">
        <f t="shared" si="72"/>
        <v>#REF!</v>
      </c>
      <c r="J164" s="229" t="e">
        <f t="shared" si="72"/>
        <v>#REF!</v>
      </c>
      <c r="K164" s="229" t="e">
        <f t="shared" si="72"/>
        <v>#REF!</v>
      </c>
      <c r="L164" s="229" t="e">
        <f t="shared" si="72"/>
        <v>#REF!</v>
      </c>
      <c r="M164" s="229" t="e">
        <f t="shared" si="72"/>
        <v>#REF!</v>
      </c>
      <c r="N164" s="229" t="e">
        <f t="shared" si="72"/>
        <v>#REF!</v>
      </c>
      <c r="O164" s="229" t="e">
        <f t="shared" si="72"/>
        <v>#REF!</v>
      </c>
      <c r="P164" s="229" t="e">
        <f t="shared" si="72"/>
        <v>#REF!</v>
      </c>
      <c r="Q164" s="230" t="e">
        <f t="shared" si="72"/>
        <v>#REF!</v>
      </c>
    </row>
    <row r="165" spans="2:17" ht="12.75">
      <c r="B165" s="225"/>
      <c r="C165" s="226"/>
      <c r="D165" s="92"/>
      <c r="E165" s="125"/>
      <c r="F165" s="125"/>
      <c r="G165" s="125"/>
      <c r="H165" s="159"/>
      <c r="I165" s="159"/>
      <c r="J165" s="159"/>
      <c r="K165" s="159"/>
      <c r="L165" s="159"/>
      <c r="M165" s="159"/>
      <c r="N165" s="159"/>
      <c r="O165" s="159"/>
      <c r="P165" s="159"/>
      <c r="Q165" s="227"/>
    </row>
    <row r="166" spans="2:17" ht="12.75">
      <c r="B166" s="225"/>
      <c r="C166" s="226"/>
      <c r="D166" s="92"/>
      <c r="E166" s="125"/>
      <c r="F166" s="125"/>
      <c r="G166" s="125"/>
      <c r="H166" s="159"/>
      <c r="I166" s="159"/>
      <c r="J166" s="159"/>
      <c r="K166" s="159"/>
      <c r="L166" s="159"/>
      <c r="M166" s="159"/>
      <c r="N166" s="159"/>
      <c r="O166" s="159"/>
      <c r="P166" s="159"/>
      <c r="Q166" s="227"/>
    </row>
    <row r="167" spans="2:17" ht="13.5" thickBot="1">
      <c r="B167" s="225"/>
      <c r="C167" s="226"/>
      <c r="D167" s="92"/>
      <c r="E167" s="125"/>
      <c r="F167" s="125"/>
      <c r="G167" s="125"/>
      <c r="H167" s="159"/>
      <c r="I167" s="159"/>
      <c r="J167" s="159"/>
      <c r="K167" s="159"/>
      <c r="L167" s="159"/>
      <c r="M167" s="159"/>
      <c r="N167" s="159"/>
      <c r="O167" s="159"/>
      <c r="P167" s="159"/>
      <c r="Q167" s="227"/>
    </row>
    <row r="168" spans="2:17" ht="26.25" thickBot="1">
      <c r="B168" s="173"/>
      <c r="C168" s="76" t="s">
        <v>22</v>
      </c>
      <c r="D168" s="166" t="s">
        <v>545</v>
      </c>
      <c r="E168" s="62" t="e">
        <f>E169+E173</f>
        <v>#REF!</v>
      </c>
      <c r="F168" s="62" t="e">
        <f aca="true" t="shared" si="73" ref="F168:Q168">F169+F173</f>
        <v>#REF!</v>
      </c>
      <c r="G168" s="62" t="e">
        <f t="shared" si="73"/>
        <v>#REF!</v>
      </c>
      <c r="H168" s="62" t="e">
        <f t="shared" si="73"/>
        <v>#REF!</v>
      </c>
      <c r="I168" s="62" t="e">
        <f t="shared" si="73"/>
        <v>#REF!</v>
      </c>
      <c r="J168" s="62" t="e">
        <f t="shared" si="73"/>
        <v>#REF!</v>
      </c>
      <c r="K168" s="62" t="e">
        <f t="shared" si="73"/>
        <v>#REF!</v>
      </c>
      <c r="L168" s="62" t="e">
        <f t="shared" si="73"/>
        <v>#REF!</v>
      </c>
      <c r="M168" s="62" t="e">
        <f t="shared" si="73"/>
        <v>#REF!</v>
      </c>
      <c r="N168" s="62" t="e">
        <f t="shared" si="73"/>
        <v>#REF!</v>
      </c>
      <c r="O168" s="62" t="e">
        <f t="shared" si="73"/>
        <v>#REF!</v>
      </c>
      <c r="P168" s="62" t="e">
        <f t="shared" si="73"/>
        <v>#REF!</v>
      </c>
      <c r="Q168" s="63" t="e">
        <f t="shared" si="73"/>
        <v>#REF!</v>
      </c>
    </row>
    <row r="169" spans="2:17" ht="26.25" thickBot="1">
      <c r="B169" s="174"/>
      <c r="C169" s="76" t="s">
        <v>23</v>
      </c>
      <c r="D169" s="11" t="s">
        <v>545</v>
      </c>
      <c r="E169" s="3" t="e">
        <f aca="true" t="shared" si="74" ref="E169:G170">E79</f>
        <v>#REF!</v>
      </c>
      <c r="F169" s="3" t="e">
        <f t="shared" si="74"/>
        <v>#REF!</v>
      </c>
      <c r="G169" s="3" t="e">
        <f t="shared" si="74"/>
        <v>#REF!</v>
      </c>
      <c r="H169" s="162" t="e">
        <f>G169*1.01</f>
        <v>#REF!</v>
      </c>
      <c r="I169" s="162" t="e">
        <f>H169*1.01</f>
        <v>#REF!</v>
      </c>
      <c r="J169" s="162" t="e">
        <f>I169*1.01</f>
        <v>#REF!</v>
      </c>
      <c r="K169" s="162" t="e">
        <f aca="true" t="shared" si="75" ref="K169:Q169">J169*1.01</f>
        <v>#REF!</v>
      </c>
      <c r="L169" s="162" t="e">
        <f t="shared" si="75"/>
        <v>#REF!</v>
      </c>
      <c r="M169" s="162" t="e">
        <f t="shared" si="75"/>
        <v>#REF!</v>
      </c>
      <c r="N169" s="162" t="e">
        <f t="shared" si="75"/>
        <v>#REF!</v>
      </c>
      <c r="O169" s="162" t="e">
        <f t="shared" si="75"/>
        <v>#REF!</v>
      </c>
      <c r="P169" s="162" t="e">
        <f t="shared" si="75"/>
        <v>#REF!</v>
      </c>
      <c r="Q169" s="162" t="e">
        <f t="shared" si="75"/>
        <v>#REF!</v>
      </c>
    </row>
    <row r="170" spans="2:17" ht="26.25" thickBot="1">
      <c r="B170" s="174"/>
      <c r="C170" s="76" t="s">
        <v>579</v>
      </c>
      <c r="D170" s="11" t="s">
        <v>545</v>
      </c>
      <c r="E170" s="3" t="e">
        <f t="shared" si="74"/>
        <v>#REF!</v>
      </c>
      <c r="F170" s="3" t="e">
        <f t="shared" si="74"/>
        <v>#REF!</v>
      </c>
      <c r="G170" s="3" t="e">
        <f t="shared" si="74"/>
        <v>#REF!</v>
      </c>
      <c r="H170" s="162" t="e">
        <f>H169*0.249</f>
        <v>#REF!</v>
      </c>
      <c r="I170" s="335" t="e">
        <f>I169*0.3</f>
        <v>#REF!</v>
      </c>
      <c r="J170" s="335" t="e">
        <f>J169</f>
        <v>#REF!</v>
      </c>
      <c r="K170" s="335" t="e">
        <f aca="true" t="shared" si="76" ref="K170:Q170">K169</f>
        <v>#REF!</v>
      </c>
      <c r="L170" s="335" t="e">
        <f t="shared" si="76"/>
        <v>#REF!</v>
      </c>
      <c r="M170" s="335" t="e">
        <f t="shared" si="76"/>
        <v>#REF!</v>
      </c>
      <c r="N170" s="335" t="e">
        <f t="shared" si="76"/>
        <v>#REF!</v>
      </c>
      <c r="O170" s="335" t="e">
        <f t="shared" si="76"/>
        <v>#REF!</v>
      </c>
      <c r="P170" s="335" t="e">
        <f t="shared" si="76"/>
        <v>#REF!</v>
      </c>
      <c r="Q170" s="335" t="e">
        <f t="shared" si="76"/>
        <v>#REF!</v>
      </c>
    </row>
    <row r="171" spans="2:17" ht="26.25" thickBot="1">
      <c r="B171" s="174"/>
      <c r="C171" s="262" t="s">
        <v>546</v>
      </c>
      <c r="D171" s="11" t="s">
        <v>545</v>
      </c>
      <c r="E171" s="3"/>
      <c r="F171" s="3"/>
      <c r="G171" s="162" t="e">
        <f>G170*0.1</f>
        <v>#REF!</v>
      </c>
      <c r="H171" s="162" t="e">
        <f>H170*0.1</f>
        <v>#REF!</v>
      </c>
      <c r="I171" s="162" t="e">
        <f aca="true" t="shared" si="77" ref="I171:O171">I170*0.1</f>
        <v>#REF!</v>
      </c>
      <c r="J171" s="162" t="e">
        <f>J170*0.07</f>
        <v>#REF!</v>
      </c>
      <c r="K171" s="162" t="e">
        <f t="shared" si="77"/>
        <v>#REF!</v>
      </c>
      <c r="L171" s="162" t="e">
        <f t="shared" si="77"/>
        <v>#REF!</v>
      </c>
      <c r="M171" s="162" t="e">
        <f t="shared" si="77"/>
        <v>#REF!</v>
      </c>
      <c r="N171" s="162" t="e">
        <f t="shared" si="77"/>
        <v>#REF!</v>
      </c>
      <c r="O171" s="162" t="e">
        <f t="shared" si="77"/>
        <v>#REF!</v>
      </c>
      <c r="P171" s="162" t="e">
        <f>P170*0.1</f>
        <v>#REF!</v>
      </c>
      <c r="Q171" s="162" t="e">
        <f>Q170*0.1</f>
        <v>#REF!</v>
      </c>
    </row>
    <row r="172" spans="2:17" ht="26.25" thickBot="1">
      <c r="B172" s="174"/>
      <c r="C172" s="261" t="s">
        <v>24</v>
      </c>
      <c r="D172" s="97" t="s">
        <v>545</v>
      </c>
      <c r="E172" s="112"/>
      <c r="F172" s="112"/>
      <c r="G172" s="112" t="e">
        <f>G169</f>
        <v>#REF!</v>
      </c>
      <c r="H172" s="163" t="e">
        <f>H169-H171</f>
        <v>#REF!</v>
      </c>
      <c r="I172" s="163" t="e">
        <f aca="true" t="shared" si="78" ref="I172:Q172">I169-I171</f>
        <v>#REF!</v>
      </c>
      <c r="J172" s="163" t="e">
        <f t="shared" si="78"/>
        <v>#REF!</v>
      </c>
      <c r="K172" s="163" t="e">
        <f t="shared" si="78"/>
        <v>#REF!</v>
      </c>
      <c r="L172" s="163" t="e">
        <f t="shared" si="78"/>
        <v>#REF!</v>
      </c>
      <c r="M172" s="163" t="e">
        <f t="shared" si="78"/>
        <v>#REF!</v>
      </c>
      <c r="N172" s="163" t="e">
        <f t="shared" si="78"/>
        <v>#REF!</v>
      </c>
      <c r="O172" s="163" t="e">
        <f t="shared" si="78"/>
        <v>#REF!</v>
      </c>
      <c r="P172" s="163" t="e">
        <f t="shared" si="78"/>
        <v>#REF!</v>
      </c>
      <c r="Q172" s="167" t="e">
        <f t="shared" si="78"/>
        <v>#REF!</v>
      </c>
    </row>
    <row r="173" spans="2:17" ht="16.5" thickBot="1">
      <c r="B173" s="174"/>
      <c r="C173" s="76" t="s">
        <v>580</v>
      </c>
      <c r="D173" s="11" t="s">
        <v>545</v>
      </c>
      <c r="E173" s="3" t="e">
        <f aca="true" t="shared" si="79" ref="E173:G174">E81</f>
        <v>#REF!</v>
      </c>
      <c r="F173" s="3" t="e">
        <f t="shared" si="79"/>
        <v>#REF!</v>
      </c>
      <c r="G173" s="3" t="e">
        <f t="shared" si="79"/>
        <v>#REF!</v>
      </c>
      <c r="H173" s="162" t="e">
        <f>G173*1.01</f>
        <v>#REF!</v>
      </c>
      <c r="I173" s="162" t="e">
        <f>H173*1.015</f>
        <v>#REF!</v>
      </c>
      <c r="J173" s="162" t="e">
        <f>I173</f>
        <v>#REF!</v>
      </c>
      <c r="K173" s="162" t="e">
        <f>J173</f>
        <v>#REF!</v>
      </c>
      <c r="L173" s="162" t="e">
        <f aca="true" t="shared" si="80" ref="L173:Q173">K173</f>
        <v>#REF!</v>
      </c>
      <c r="M173" s="162" t="e">
        <f t="shared" si="80"/>
        <v>#REF!</v>
      </c>
      <c r="N173" s="162" t="e">
        <f t="shared" si="80"/>
        <v>#REF!</v>
      </c>
      <c r="O173" s="162" t="e">
        <f t="shared" si="80"/>
        <v>#REF!</v>
      </c>
      <c r="P173" s="162" t="e">
        <f t="shared" si="80"/>
        <v>#REF!</v>
      </c>
      <c r="Q173" s="162" t="e">
        <f t="shared" si="80"/>
        <v>#REF!</v>
      </c>
    </row>
    <row r="174" spans="2:17" ht="26.25" thickBot="1">
      <c r="B174" s="174"/>
      <c r="C174" s="76" t="s">
        <v>584</v>
      </c>
      <c r="D174" s="11" t="s">
        <v>545</v>
      </c>
      <c r="E174" s="3" t="e">
        <f t="shared" si="79"/>
        <v>#REF!</v>
      </c>
      <c r="F174" s="3" t="e">
        <f t="shared" si="79"/>
        <v>#REF!</v>
      </c>
      <c r="G174" s="3" t="e">
        <f t="shared" si="79"/>
        <v>#REF!</v>
      </c>
      <c r="H174" s="162" t="e">
        <f>H173*0.115</f>
        <v>#REF!</v>
      </c>
      <c r="I174" s="162" t="e">
        <f>I173*0.61</f>
        <v>#REF!</v>
      </c>
      <c r="J174" s="162" t="e">
        <f aca="true" t="shared" si="81" ref="J174:Q174">J173</f>
        <v>#REF!</v>
      </c>
      <c r="K174" s="162" t="e">
        <f t="shared" si="81"/>
        <v>#REF!</v>
      </c>
      <c r="L174" s="162" t="e">
        <f t="shared" si="81"/>
        <v>#REF!</v>
      </c>
      <c r="M174" s="162" t="e">
        <f t="shared" si="81"/>
        <v>#REF!</v>
      </c>
      <c r="N174" s="162" t="e">
        <f t="shared" si="81"/>
        <v>#REF!</v>
      </c>
      <c r="O174" s="162" t="e">
        <f t="shared" si="81"/>
        <v>#REF!</v>
      </c>
      <c r="P174" s="162" t="e">
        <f t="shared" si="81"/>
        <v>#REF!</v>
      </c>
      <c r="Q174" s="162" t="e">
        <f t="shared" si="81"/>
        <v>#REF!</v>
      </c>
    </row>
    <row r="175" spans="2:17" ht="26.25" thickBot="1">
      <c r="B175" s="174"/>
      <c r="C175" s="262" t="s">
        <v>383</v>
      </c>
      <c r="D175" s="11" t="s">
        <v>545</v>
      </c>
      <c r="E175" s="3"/>
      <c r="F175" s="3"/>
      <c r="G175" s="162" t="e">
        <f>G174*0.1</f>
        <v>#REF!</v>
      </c>
      <c r="H175" s="162" t="e">
        <f aca="true" t="shared" si="82" ref="H175:Q175">H174*0.1</f>
        <v>#REF!</v>
      </c>
      <c r="I175" s="162" t="e">
        <f t="shared" si="82"/>
        <v>#REF!</v>
      </c>
      <c r="J175" s="162" t="e">
        <f>J174*0.07</f>
        <v>#REF!</v>
      </c>
      <c r="K175" s="162" t="e">
        <f t="shared" si="82"/>
        <v>#REF!</v>
      </c>
      <c r="L175" s="162" t="e">
        <f t="shared" si="82"/>
        <v>#REF!</v>
      </c>
      <c r="M175" s="162" t="e">
        <f t="shared" si="82"/>
        <v>#REF!</v>
      </c>
      <c r="N175" s="162" t="e">
        <f t="shared" si="82"/>
        <v>#REF!</v>
      </c>
      <c r="O175" s="162" t="e">
        <f t="shared" si="82"/>
        <v>#REF!</v>
      </c>
      <c r="P175" s="162" t="e">
        <f t="shared" si="82"/>
        <v>#REF!</v>
      </c>
      <c r="Q175" s="162" t="e">
        <f t="shared" si="82"/>
        <v>#REF!</v>
      </c>
    </row>
    <row r="176" spans="2:17" ht="26.25" thickBot="1">
      <c r="B176" s="175"/>
      <c r="C176" s="261" t="s">
        <v>25</v>
      </c>
      <c r="D176" s="11" t="s">
        <v>545</v>
      </c>
      <c r="E176" s="168"/>
      <c r="F176" s="168"/>
      <c r="G176" s="168" t="e">
        <f>G173</f>
        <v>#REF!</v>
      </c>
      <c r="H176" s="169" t="e">
        <f>H173-H175</f>
        <v>#REF!</v>
      </c>
      <c r="I176" s="169" t="e">
        <f aca="true" t="shared" si="83" ref="I176:Q176">I173-I175</f>
        <v>#REF!</v>
      </c>
      <c r="J176" s="169" t="e">
        <f t="shared" si="83"/>
        <v>#REF!</v>
      </c>
      <c r="K176" s="169" t="e">
        <f t="shared" si="83"/>
        <v>#REF!</v>
      </c>
      <c r="L176" s="169" t="e">
        <f t="shared" si="83"/>
        <v>#REF!</v>
      </c>
      <c r="M176" s="169" t="e">
        <f t="shared" si="83"/>
        <v>#REF!</v>
      </c>
      <c r="N176" s="169" t="e">
        <f t="shared" si="83"/>
        <v>#REF!</v>
      </c>
      <c r="O176" s="169" t="e">
        <f t="shared" si="83"/>
        <v>#REF!</v>
      </c>
      <c r="P176" s="169" t="e">
        <f t="shared" si="83"/>
        <v>#REF!</v>
      </c>
      <c r="Q176" s="170" t="e">
        <f t="shared" si="83"/>
        <v>#REF!</v>
      </c>
    </row>
    <row r="177" spans="2:17" s="185" customFormat="1" ht="15.75">
      <c r="B177" s="186"/>
      <c r="C177" s="286" t="s">
        <v>323</v>
      </c>
      <c r="D177" s="287" t="s">
        <v>545</v>
      </c>
      <c r="E177" s="187"/>
      <c r="F177" s="187"/>
      <c r="G177" s="188" t="e">
        <f>G170+G174</f>
        <v>#REF!</v>
      </c>
      <c r="H177" s="188" t="e">
        <f>H170+H174</f>
        <v>#REF!</v>
      </c>
      <c r="I177" s="188" t="e">
        <f>I170+I174</f>
        <v>#REF!</v>
      </c>
      <c r="J177" s="188" t="e">
        <f>J172+J176</f>
        <v>#REF!</v>
      </c>
      <c r="K177" s="188" t="e">
        <f aca="true" t="shared" si="84" ref="K177:Q177">K172+K176</f>
        <v>#REF!</v>
      </c>
      <c r="L177" s="188" t="e">
        <f t="shared" si="84"/>
        <v>#REF!</v>
      </c>
      <c r="M177" s="188" t="e">
        <f t="shared" si="84"/>
        <v>#REF!</v>
      </c>
      <c r="N177" s="188" t="e">
        <f t="shared" si="84"/>
        <v>#REF!</v>
      </c>
      <c r="O177" s="188" t="e">
        <f t="shared" si="84"/>
        <v>#REF!</v>
      </c>
      <c r="P177" s="188" t="e">
        <f t="shared" si="84"/>
        <v>#REF!</v>
      </c>
      <c r="Q177" s="188" t="e">
        <f t="shared" si="84"/>
        <v>#REF!</v>
      </c>
    </row>
    <row r="178" spans="2:17" s="185" customFormat="1" ht="25.5">
      <c r="B178" s="186"/>
      <c r="C178" s="371" t="s">
        <v>594</v>
      </c>
      <c r="D178" s="288" t="s">
        <v>545</v>
      </c>
      <c r="E178" s="289"/>
      <c r="F178" s="289"/>
      <c r="G178" s="289" t="e">
        <f>G176+G172</f>
        <v>#REF!</v>
      </c>
      <c r="H178" s="290" t="e">
        <f>H172+H176</f>
        <v>#REF!</v>
      </c>
      <c r="I178" s="290" t="e">
        <f aca="true" t="shared" si="85" ref="I178:Q178">I172+I176</f>
        <v>#REF!</v>
      </c>
      <c r="J178" s="290" t="e">
        <f t="shared" si="85"/>
        <v>#REF!</v>
      </c>
      <c r="K178" s="290" t="e">
        <f t="shared" si="85"/>
        <v>#REF!</v>
      </c>
      <c r="L178" s="290" t="e">
        <f t="shared" si="85"/>
        <v>#REF!</v>
      </c>
      <c r="M178" s="290" t="e">
        <f t="shared" si="85"/>
        <v>#REF!</v>
      </c>
      <c r="N178" s="290" t="e">
        <f t="shared" si="85"/>
        <v>#REF!</v>
      </c>
      <c r="O178" s="290" t="e">
        <f t="shared" si="85"/>
        <v>#REF!</v>
      </c>
      <c r="P178" s="290" t="e">
        <f t="shared" si="85"/>
        <v>#REF!</v>
      </c>
      <c r="Q178" s="290" t="e">
        <f t="shared" si="85"/>
        <v>#REF!</v>
      </c>
    </row>
    <row r="179" spans="2:17" s="185" customFormat="1" ht="15.75">
      <c r="B179" s="186"/>
      <c r="C179" s="294" t="s">
        <v>553</v>
      </c>
      <c r="D179" s="288" t="s">
        <v>545</v>
      </c>
      <c r="E179" s="289"/>
      <c r="F179" s="289"/>
      <c r="G179" s="289"/>
      <c r="H179" s="290" t="e">
        <f>(H171+H175)-(G171+G175)</f>
        <v>#REF!</v>
      </c>
      <c r="I179" s="290" t="e">
        <f>(I171+I175)-(H171+H175)</f>
        <v>#REF!</v>
      </c>
      <c r="J179" s="290" t="e">
        <f>(J171+J175)-(I171+I175)</f>
        <v>#REF!</v>
      </c>
      <c r="K179" s="290" t="e">
        <f>(K171+K175)-(J171+J175)</f>
        <v>#REF!</v>
      </c>
      <c r="L179" s="290" t="e">
        <f aca="true" t="shared" si="86" ref="L179:Q179">(L171+L175)-(K171+K175)</f>
        <v>#REF!</v>
      </c>
      <c r="M179" s="290" t="e">
        <f t="shared" si="86"/>
        <v>#REF!</v>
      </c>
      <c r="N179" s="290" t="e">
        <f t="shared" si="86"/>
        <v>#REF!</v>
      </c>
      <c r="O179" s="290" t="e">
        <f t="shared" si="86"/>
        <v>#REF!</v>
      </c>
      <c r="P179" s="290" t="e">
        <f t="shared" si="86"/>
        <v>#REF!</v>
      </c>
      <c r="Q179" s="290" t="e">
        <f t="shared" si="86"/>
        <v>#REF!</v>
      </c>
    </row>
    <row r="180" spans="2:17" s="185" customFormat="1" ht="15.75">
      <c r="B180" s="186"/>
      <c r="C180" s="291" t="s">
        <v>324</v>
      </c>
      <c r="D180" s="292" t="s">
        <v>14</v>
      </c>
      <c r="E180" s="107"/>
      <c r="F180" s="107"/>
      <c r="G180" s="107"/>
      <c r="H180" s="293" t="e">
        <f>H177/H178*1.055</f>
        <v>#REF!</v>
      </c>
      <c r="I180" s="293" t="e">
        <f>I177/I178*1.1</f>
        <v>#REF!</v>
      </c>
      <c r="J180" s="293" t="e">
        <f>J177/J178*1.08</f>
        <v>#REF!</v>
      </c>
      <c r="K180" s="293" t="e">
        <f>K177/K178*1.015</f>
        <v>#REF!</v>
      </c>
      <c r="L180" s="293" t="e">
        <f aca="true" t="shared" si="87" ref="L180:Q180">L177/L178</f>
        <v>#REF!</v>
      </c>
      <c r="M180" s="293" t="e">
        <f t="shared" si="87"/>
        <v>#REF!</v>
      </c>
      <c r="N180" s="293" t="e">
        <f t="shared" si="87"/>
        <v>#REF!</v>
      </c>
      <c r="O180" s="293" t="e">
        <f t="shared" si="87"/>
        <v>#REF!</v>
      </c>
      <c r="P180" s="293" t="e">
        <f t="shared" si="87"/>
        <v>#REF!</v>
      </c>
      <c r="Q180" s="293" t="e">
        <f t="shared" si="87"/>
        <v>#REF!</v>
      </c>
    </row>
    <row r="181" spans="2:17" ht="26.25" thickBot="1">
      <c r="B181" s="73"/>
      <c r="C181" s="190" t="s">
        <v>325</v>
      </c>
      <c r="D181" s="189" t="s">
        <v>545</v>
      </c>
      <c r="E181" s="191"/>
      <c r="F181" s="191"/>
      <c r="G181" s="191"/>
      <c r="H181" s="192" t="e">
        <f>H178-H177</f>
        <v>#REF!</v>
      </c>
      <c r="I181" s="192" t="e">
        <f aca="true" t="shared" si="88" ref="I181:Q181">I178-I177</f>
        <v>#REF!</v>
      </c>
      <c r="J181" s="192" t="e">
        <f t="shared" si="88"/>
        <v>#REF!</v>
      </c>
      <c r="K181" s="192" t="e">
        <f t="shared" si="88"/>
        <v>#REF!</v>
      </c>
      <c r="L181" s="192" t="e">
        <f t="shared" si="88"/>
        <v>#REF!</v>
      </c>
      <c r="M181" s="192" t="e">
        <f t="shared" si="88"/>
        <v>#REF!</v>
      </c>
      <c r="N181" s="192" t="e">
        <f t="shared" si="88"/>
        <v>#REF!</v>
      </c>
      <c r="O181" s="192" t="e">
        <f t="shared" si="88"/>
        <v>#REF!</v>
      </c>
      <c r="P181" s="192" t="e">
        <f t="shared" si="88"/>
        <v>#REF!</v>
      </c>
      <c r="Q181" s="192" t="e">
        <f t="shared" si="88"/>
        <v>#REF!</v>
      </c>
    </row>
    <row r="182" spans="2:17" ht="26.25" thickBot="1">
      <c r="B182" s="3"/>
      <c r="C182" s="76" t="s">
        <v>588</v>
      </c>
      <c r="D182" s="189" t="s">
        <v>545</v>
      </c>
      <c r="E182" s="3"/>
      <c r="F182" s="3"/>
      <c r="G182" s="3"/>
      <c r="H182" s="85" t="e">
        <f>H171+H175</f>
        <v>#REF!</v>
      </c>
      <c r="I182" s="85" t="e">
        <f aca="true" t="shared" si="89" ref="I182:Q182">I171+I175</f>
        <v>#REF!</v>
      </c>
      <c r="J182" s="85" t="e">
        <f t="shared" si="89"/>
        <v>#REF!</v>
      </c>
      <c r="K182" s="85" t="e">
        <f t="shared" si="89"/>
        <v>#REF!</v>
      </c>
      <c r="L182" s="85" t="e">
        <f t="shared" si="89"/>
        <v>#REF!</v>
      </c>
      <c r="M182" s="85" t="e">
        <f t="shared" si="89"/>
        <v>#REF!</v>
      </c>
      <c r="N182" s="85" t="e">
        <f t="shared" si="89"/>
        <v>#REF!</v>
      </c>
      <c r="O182" s="85" t="e">
        <f t="shared" si="89"/>
        <v>#REF!</v>
      </c>
      <c r="P182" s="85" t="e">
        <f t="shared" si="89"/>
        <v>#REF!</v>
      </c>
      <c r="Q182" s="85" t="e">
        <f t="shared" si="89"/>
        <v>#REF!</v>
      </c>
    </row>
    <row r="183" spans="2:17" ht="16.5" thickBot="1">
      <c r="B183" s="3"/>
      <c r="C183" s="171" t="s">
        <v>589</v>
      </c>
      <c r="D183" s="189" t="s">
        <v>545</v>
      </c>
      <c r="E183" s="3"/>
      <c r="F183" s="3"/>
      <c r="G183" s="3"/>
      <c r="H183" s="85" t="e">
        <f>H182</f>
        <v>#REF!</v>
      </c>
      <c r="I183" s="85" t="e">
        <f>I182-H182</f>
        <v>#REF!</v>
      </c>
      <c r="J183" s="85" t="e">
        <f>J182-I182</f>
        <v>#REF!</v>
      </c>
      <c r="K183" s="85" t="e">
        <f>K182-J182</f>
        <v>#REF!</v>
      </c>
      <c r="L183" s="85" t="e">
        <f>L182-K182</f>
        <v>#REF!</v>
      </c>
      <c r="M183" s="85" t="e">
        <f>M182-L182</f>
        <v>#REF!</v>
      </c>
      <c r="N183" s="85">
        <v>0</v>
      </c>
      <c r="O183" s="85">
        <v>0</v>
      </c>
      <c r="P183" s="85">
        <v>0</v>
      </c>
      <c r="Q183" s="85">
        <v>0</v>
      </c>
    </row>
    <row r="184" spans="2:17" ht="15.75">
      <c r="B184" s="3"/>
      <c r="C184" s="171"/>
      <c r="D184" s="260"/>
      <c r="E184" s="3"/>
      <c r="F184" s="3"/>
      <c r="G184" s="3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8" ht="12.75">
      <c r="B185" s="3"/>
      <c r="C185" s="172" t="s">
        <v>406</v>
      </c>
      <c r="D185" s="160" t="s">
        <v>496</v>
      </c>
      <c r="E185" s="160"/>
      <c r="F185" s="160"/>
      <c r="G185" s="160"/>
      <c r="H185" s="161" t="e">
        <f aca="true" t="shared" si="90" ref="H185:Q185">H119+H164</f>
        <v>#REF!</v>
      </c>
      <c r="I185" s="161" t="e">
        <f t="shared" si="90"/>
        <v>#REF!</v>
      </c>
      <c r="J185" s="161" t="e">
        <f t="shared" si="90"/>
        <v>#REF!</v>
      </c>
      <c r="K185" s="161" t="e">
        <f t="shared" si="90"/>
        <v>#REF!</v>
      </c>
      <c r="L185" s="161" t="e">
        <f t="shared" si="90"/>
        <v>#REF!</v>
      </c>
      <c r="M185" s="161" t="e">
        <f t="shared" si="90"/>
        <v>#REF!</v>
      </c>
      <c r="N185" s="161" t="e">
        <f t="shared" si="90"/>
        <v>#REF!</v>
      </c>
      <c r="O185" s="161" t="e">
        <f t="shared" si="90"/>
        <v>#REF!</v>
      </c>
      <c r="P185" s="161" t="e">
        <f t="shared" si="90"/>
        <v>#REF!</v>
      </c>
      <c r="Q185" s="161" t="e">
        <f t="shared" si="90"/>
        <v>#REF!</v>
      </c>
      <c r="R185" s="81"/>
    </row>
    <row r="186" spans="3:18" ht="12.75">
      <c r="C186" s="82"/>
      <c r="D186" s="83"/>
      <c r="E186" s="83"/>
      <c r="F186" s="83"/>
      <c r="G186" s="83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1"/>
    </row>
    <row r="187" spans="3:18" ht="12.75">
      <c r="C187" s="82"/>
      <c r="D187" s="83"/>
      <c r="E187" s="83"/>
      <c r="F187" s="83"/>
      <c r="G187" s="83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1"/>
    </row>
    <row r="188" spans="5:17" ht="13.5" thickBot="1">
      <c r="E188" s="58">
        <v>2007</v>
      </c>
      <c r="F188" s="58">
        <v>2008</v>
      </c>
      <c r="G188" s="58">
        <v>2009</v>
      </c>
      <c r="H188" s="58">
        <v>2010</v>
      </c>
      <c r="I188" s="58">
        <v>2011</v>
      </c>
      <c r="J188" s="58">
        <v>2012</v>
      </c>
      <c r="K188" s="58">
        <v>2013</v>
      </c>
      <c r="L188" s="58">
        <v>2014</v>
      </c>
      <c r="M188" s="58">
        <v>2015</v>
      </c>
      <c r="N188" s="58">
        <v>2016</v>
      </c>
      <c r="O188" s="58">
        <v>2017</v>
      </c>
      <c r="P188" s="58">
        <v>2018</v>
      </c>
      <c r="Q188" s="58">
        <v>2019</v>
      </c>
    </row>
    <row r="189" spans="3:17" ht="13.5" thickBot="1">
      <c r="C189" s="355" t="s">
        <v>433</v>
      </c>
      <c r="D189" s="356" t="s">
        <v>434</v>
      </c>
      <c r="E189" s="356"/>
      <c r="F189" s="356"/>
      <c r="G189" s="356"/>
      <c r="H189" s="359" t="e">
        <f>H6</f>
        <v>#REF!</v>
      </c>
      <c r="I189" s="359" t="e">
        <f aca="true" t="shared" si="91" ref="I189:Q189">I6</f>
        <v>#REF!</v>
      </c>
      <c r="J189" s="359" t="e">
        <f t="shared" si="91"/>
        <v>#REF!</v>
      </c>
      <c r="K189" s="359" t="e">
        <f t="shared" si="91"/>
        <v>#REF!</v>
      </c>
      <c r="L189" s="359" t="e">
        <f t="shared" si="91"/>
        <v>#REF!</v>
      </c>
      <c r="M189" s="359" t="e">
        <f t="shared" si="91"/>
        <v>#REF!</v>
      </c>
      <c r="N189" s="359" t="e">
        <f t="shared" si="91"/>
        <v>#REF!</v>
      </c>
      <c r="O189" s="359" t="e">
        <f t="shared" si="91"/>
        <v>#REF!</v>
      </c>
      <c r="P189" s="359" t="e">
        <f t="shared" si="91"/>
        <v>#REF!</v>
      </c>
      <c r="Q189" s="360" t="e">
        <f t="shared" si="91"/>
        <v>#REF!</v>
      </c>
    </row>
    <row r="190" spans="3:17" ht="39" thickBot="1">
      <c r="C190" s="381" t="s">
        <v>432</v>
      </c>
      <c r="D190" s="382" t="s">
        <v>431</v>
      </c>
      <c r="E190" s="383"/>
      <c r="F190" s="383"/>
      <c r="G190" s="383"/>
      <c r="H190" s="384" t="e">
        <f>H191*1000/0.123</f>
        <v>#REF!</v>
      </c>
      <c r="I190" s="384" t="e">
        <f aca="true" t="shared" si="92" ref="I190:Q190">I191*1000/0.123</f>
        <v>#REF!</v>
      </c>
      <c r="J190" s="384" t="e">
        <f t="shared" si="92"/>
        <v>#REF!</v>
      </c>
      <c r="K190" s="384" t="e">
        <f t="shared" si="92"/>
        <v>#REF!</v>
      </c>
      <c r="L190" s="384" t="e">
        <f t="shared" si="92"/>
        <v>#REF!</v>
      </c>
      <c r="M190" s="384" t="e">
        <f t="shared" si="92"/>
        <v>#REF!</v>
      </c>
      <c r="N190" s="384" t="e">
        <f t="shared" si="92"/>
        <v>#REF!</v>
      </c>
      <c r="O190" s="384" t="e">
        <f t="shared" si="92"/>
        <v>#REF!</v>
      </c>
      <c r="P190" s="384" t="e">
        <f t="shared" si="92"/>
        <v>#REF!</v>
      </c>
      <c r="Q190" s="385" t="e">
        <f t="shared" si="92"/>
        <v>#REF!</v>
      </c>
    </row>
    <row r="191" spans="3:17" ht="13.5" thickBot="1">
      <c r="C191" s="355" t="s">
        <v>436</v>
      </c>
      <c r="D191" s="356" t="s">
        <v>435</v>
      </c>
      <c r="E191" s="356"/>
      <c r="F191" s="356"/>
      <c r="G191" s="356"/>
      <c r="H191" s="362" t="e">
        <f>H189*H192/100</f>
        <v>#REF!</v>
      </c>
      <c r="I191" s="362" t="e">
        <f aca="true" t="shared" si="93" ref="I191:Q191">I189*I192/100</f>
        <v>#REF!</v>
      </c>
      <c r="J191" s="362" t="e">
        <f t="shared" si="93"/>
        <v>#REF!</v>
      </c>
      <c r="K191" s="362" t="e">
        <f t="shared" si="93"/>
        <v>#REF!</v>
      </c>
      <c r="L191" s="362" t="e">
        <f t="shared" si="93"/>
        <v>#REF!</v>
      </c>
      <c r="M191" s="362" t="e">
        <f t="shared" si="93"/>
        <v>#REF!</v>
      </c>
      <c r="N191" s="362" t="e">
        <f t="shared" si="93"/>
        <v>#REF!</v>
      </c>
      <c r="O191" s="362" t="e">
        <f t="shared" si="93"/>
        <v>#REF!</v>
      </c>
      <c r="P191" s="362" t="e">
        <f t="shared" si="93"/>
        <v>#REF!</v>
      </c>
      <c r="Q191" s="363" t="e">
        <f t="shared" si="93"/>
        <v>#REF!</v>
      </c>
    </row>
    <row r="192" spans="3:17" ht="12.75">
      <c r="C192" s="354" t="s">
        <v>453</v>
      </c>
      <c r="D192" s="73" t="s">
        <v>14</v>
      </c>
      <c r="E192" s="77" t="e">
        <f>'тэр районы'!D4</f>
        <v>#REF!</v>
      </c>
      <c r="F192" s="77" t="e">
        <f>'тэр районы'!L4</f>
        <v>#REF!</v>
      </c>
      <c r="G192" s="77" t="e">
        <f>'тэр районы'!T4</f>
        <v>#REF!</v>
      </c>
      <c r="H192" s="77" t="e">
        <f>E192</f>
        <v>#REF!</v>
      </c>
      <c r="I192" s="295" t="e">
        <f>E192</f>
        <v>#REF!</v>
      </c>
      <c r="J192" s="295" t="e">
        <f>E192</f>
        <v>#REF!</v>
      </c>
      <c r="K192" s="295" t="e">
        <f>$E$192</f>
        <v>#REF!</v>
      </c>
      <c r="L192" s="295" t="e">
        <f aca="true" t="shared" si="94" ref="L192:Q192">$E$192</f>
        <v>#REF!</v>
      </c>
      <c r="M192" s="295" t="e">
        <f t="shared" si="94"/>
        <v>#REF!</v>
      </c>
      <c r="N192" s="295" t="e">
        <f t="shared" si="94"/>
        <v>#REF!</v>
      </c>
      <c r="O192" s="295" t="e">
        <f t="shared" si="94"/>
        <v>#REF!</v>
      </c>
      <c r="P192" s="295" t="e">
        <f t="shared" si="94"/>
        <v>#REF!</v>
      </c>
      <c r="Q192" s="295" t="e">
        <f t="shared" si="94"/>
        <v>#REF!</v>
      </c>
    </row>
    <row r="193" spans="3:17" ht="12.75">
      <c r="C193" s="379" t="s">
        <v>437</v>
      </c>
      <c r="D193" s="377" t="s">
        <v>435</v>
      </c>
      <c r="E193" s="377"/>
      <c r="F193" s="377"/>
      <c r="G193" s="377"/>
      <c r="H193" s="377" t="e">
        <f>H137</f>
        <v>#REF!</v>
      </c>
      <c r="I193" s="377"/>
      <c r="J193" s="377"/>
      <c r="K193" s="377"/>
      <c r="L193" s="377"/>
      <c r="M193" s="377"/>
      <c r="N193" s="377"/>
      <c r="O193" s="377"/>
      <c r="P193" s="377"/>
      <c r="Q193" s="380"/>
    </row>
    <row r="194" spans="3:17" ht="12.75">
      <c r="C194" s="113" t="s">
        <v>438</v>
      </c>
      <c r="D194" s="3" t="s">
        <v>435</v>
      </c>
      <c r="E194" s="3"/>
      <c r="F194" s="3"/>
      <c r="G194" s="3"/>
      <c r="H194" s="22" t="e">
        <f>H115/1000</f>
        <v>#REF!</v>
      </c>
      <c r="I194" s="22" t="e">
        <f aca="true" t="shared" si="95" ref="I194:Q194">I115/1000</f>
        <v>#REF!</v>
      </c>
      <c r="J194" s="22" t="e">
        <f t="shared" si="95"/>
        <v>#REF!</v>
      </c>
      <c r="K194" s="22" t="e">
        <f t="shared" si="95"/>
        <v>#REF!</v>
      </c>
      <c r="L194" s="22" t="e">
        <f t="shared" si="95"/>
        <v>#REF!</v>
      </c>
      <c r="M194" s="22" t="e">
        <f t="shared" si="95"/>
        <v>#REF!</v>
      </c>
      <c r="N194" s="22" t="e">
        <f t="shared" si="95"/>
        <v>#REF!</v>
      </c>
      <c r="O194" s="22" t="e">
        <f t="shared" si="95"/>
        <v>#REF!</v>
      </c>
      <c r="P194" s="22" t="e">
        <f t="shared" si="95"/>
        <v>#REF!</v>
      </c>
      <c r="Q194" s="114" t="e">
        <f t="shared" si="95"/>
        <v>#REF!</v>
      </c>
    </row>
    <row r="195" spans="3:17" ht="13.5" thickBot="1">
      <c r="C195" s="375" t="s">
        <v>438</v>
      </c>
      <c r="D195" s="376" t="s">
        <v>431</v>
      </c>
      <c r="E195" s="376"/>
      <c r="F195" s="377"/>
      <c r="G195" s="377"/>
      <c r="H195" s="378" t="e">
        <f>H114/1000</f>
        <v>#REF!</v>
      </c>
      <c r="I195" s="378" t="e">
        <f aca="true" t="shared" si="96" ref="I195:Q195">I114/1000</f>
        <v>#REF!</v>
      </c>
      <c r="J195" s="378" t="e">
        <f t="shared" si="96"/>
        <v>#REF!</v>
      </c>
      <c r="K195" s="378" t="e">
        <f t="shared" si="96"/>
        <v>#REF!</v>
      </c>
      <c r="L195" s="378" t="e">
        <f t="shared" si="96"/>
        <v>#REF!</v>
      </c>
      <c r="M195" s="378" t="e">
        <f t="shared" si="96"/>
        <v>#REF!</v>
      </c>
      <c r="N195" s="378" t="e">
        <f t="shared" si="96"/>
        <v>#REF!</v>
      </c>
      <c r="O195" s="378" t="e">
        <f t="shared" si="96"/>
        <v>#REF!</v>
      </c>
      <c r="P195" s="378" t="e">
        <f t="shared" si="96"/>
        <v>#REF!</v>
      </c>
      <c r="Q195" s="378" t="e">
        <f t="shared" si="96"/>
        <v>#REF!</v>
      </c>
    </row>
    <row r="196" spans="3:17" ht="12.75">
      <c r="C196" s="117" t="s">
        <v>439</v>
      </c>
      <c r="D196" s="62" t="s">
        <v>435</v>
      </c>
      <c r="E196" s="63"/>
      <c r="F196" s="57"/>
      <c r="G196" s="58"/>
      <c r="H196" s="372"/>
      <c r="I196" s="372"/>
      <c r="J196" s="372"/>
      <c r="K196" s="372"/>
      <c r="L196" s="372"/>
      <c r="M196" s="372"/>
      <c r="N196" s="372"/>
      <c r="O196" s="372"/>
      <c r="P196" s="372"/>
      <c r="Q196" s="373"/>
    </row>
    <row r="197" spans="3:17" ht="13.5" thickBot="1">
      <c r="C197" s="374" t="s">
        <v>439</v>
      </c>
      <c r="D197" s="25" t="s">
        <v>431</v>
      </c>
      <c r="E197" s="86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69"/>
    </row>
    <row r="198" spans="3:17" ht="12.75">
      <c r="C198" s="354" t="s">
        <v>454</v>
      </c>
      <c r="D198" s="73" t="s">
        <v>14</v>
      </c>
      <c r="E198" s="78" t="e">
        <f>(E23*0.143)/E19*100</f>
        <v>#REF!</v>
      </c>
      <c r="F198" s="79" t="e">
        <f>(F23*0.143)/F19*100</f>
        <v>#REF!</v>
      </c>
      <c r="G198" s="79" t="e">
        <f>(G23*0.143)/G19*100</f>
        <v>#REF!</v>
      </c>
      <c r="H198" s="156" t="e">
        <f>E198</f>
        <v>#REF!</v>
      </c>
      <c r="I198" s="156" t="e">
        <f>H198</f>
        <v>#REF!</v>
      </c>
      <c r="J198" s="156" t="e">
        <f>I198</f>
        <v>#REF!</v>
      </c>
      <c r="K198" s="156" t="e">
        <f aca="true" t="shared" si="97" ref="K198:Q198">$E$198</f>
        <v>#REF!</v>
      </c>
      <c r="L198" s="156" t="e">
        <f t="shared" si="97"/>
        <v>#REF!</v>
      </c>
      <c r="M198" s="156" t="e">
        <f t="shared" si="97"/>
        <v>#REF!</v>
      </c>
      <c r="N198" s="156" t="e">
        <f t="shared" si="97"/>
        <v>#REF!</v>
      </c>
      <c r="O198" s="156" t="e">
        <f t="shared" si="97"/>
        <v>#REF!</v>
      </c>
      <c r="P198" s="156" t="e">
        <f t="shared" si="97"/>
        <v>#REF!</v>
      </c>
      <c r="Q198" s="285" t="e">
        <f t="shared" si="97"/>
        <v>#REF!</v>
      </c>
    </row>
    <row r="199" spans="3:17" ht="12.75">
      <c r="C199" s="113" t="s">
        <v>552</v>
      </c>
      <c r="D199" s="3" t="s">
        <v>476</v>
      </c>
      <c r="E199" s="3"/>
      <c r="F199" s="3"/>
      <c r="G199" s="3"/>
      <c r="H199" s="85" t="e">
        <f>H198*H189/100</f>
        <v>#REF!</v>
      </c>
      <c r="I199" s="85" t="e">
        <f aca="true" t="shared" si="98" ref="I199:Q199">I198*I189/100</f>
        <v>#REF!</v>
      </c>
      <c r="J199" s="85" t="e">
        <f t="shared" si="98"/>
        <v>#REF!</v>
      </c>
      <c r="K199" s="85" t="e">
        <f t="shared" si="98"/>
        <v>#REF!</v>
      </c>
      <c r="L199" s="85" t="e">
        <f t="shared" si="98"/>
        <v>#REF!</v>
      </c>
      <c r="M199" s="85" t="e">
        <f t="shared" si="98"/>
        <v>#REF!</v>
      </c>
      <c r="N199" s="85" t="e">
        <f t="shared" si="98"/>
        <v>#REF!</v>
      </c>
      <c r="O199" s="85" t="e">
        <f t="shared" si="98"/>
        <v>#REF!</v>
      </c>
      <c r="P199" s="85" t="e">
        <f t="shared" si="98"/>
        <v>#REF!</v>
      </c>
      <c r="Q199" s="118" t="e">
        <f t="shared" si="98"/>
        <v>#REF!</v>
      </c>
    </row>
    <row r="200" spans="3:17" ht="12.75">
      <c r="C200" s="119" t="s">
        <v>462</v>
      </c>
      <c r="D200" s="108" t="s">
        <v>456</v>
      </c>
      <c r="E200" s="109"/>
      <c r="F200" s="109"/>
      <c r="G200" s="109"/>
      <c r="H200" s="110" t="e">
        <f>H199*1000/0.143/1000</f>
        <v>#REF!</v>
      </c>
      <c r="I200" s="110" t="e">
        <f>I199*1000/0.143/1000</f>
        <v>#REF!</v>
      </c>
      <c r="J200" s="110" t="e">
        <f aca="true" t="shared" si="99" ref="J200:Q200">J199*1000/0.143/1000</f>
        <v>#REF!</v>
      </c>
      <c r="K200" s="110" t="e">
        <f t="shared" si="99"/>
        <v>#REF!</v>
      </c>
      <c r="L200" s="110" t="e">
        <f t="shared" si="99"/>
        <v>#REF!</v>
      </c>
      <c r="M200" s="110" t="e">
        <f t="shared" si="99"/>
        <v>#REF!</v>
      </c>
      <c r="N200" s="110" t="e">
        <f t="shared" si="99"/>
        <v>#REF!</v>
      </c>
      <c r="O200" s="110" t="e">
        <f t="shared" si="99"/>
        <v>#REF!</v>
      </c>
      <c r="P200" s="110" t="e">
        <f t="shared" si="99"/>
        <v>#REF!</v>
      </c>
      <c r="Q200" s="120" t="e">
        <f t="shared" si="99"/>
        <v>#REF!</v>
      </c>
    </row>
    <row r="201" spans="3:17" ht="12.75">
      <c r="C201" s="113" t="s">
        <v>437</v>
      </c>
      <c r="D201" s="3" t="s">
        <v>435</v>
      </c>
      <c r="E201" s="3"/>
      <c r="F201" s="3"/>
      <c r="G201" s="3"/>
      <c r="H201" s="85" t="e">
        <f>H202*0.143</f>
        <v>#REF!</v>
      </c>
      <c r="I201" s="85" t="e">
        <f aca="true" t="shared" si="100" ref="I201:Q201">I202*0.143</f>
        <v>#REF!</v>
      </c>
      <c r="J201" s="85" t="e">
        <f t="shared" si="100"/>
        <v>#REF!</v>
      </c>
      <c r="K201" s="85" t="e">
        <f t="shared" si="100"/>
        <v>#REF!</v>
      </c>
      <c r="L201" s="85" t="e">
        <f t="shared" si="100"/>
        <v>#REF!</v>
      </c>
      <c r="M201" s="85" t="e">
        <f t="shared" si="100"/>
        <v>#REF!</v>
      </c>
      <c r="N201" s="85" t="e">
        <f t="shared" si="100"/>
        <v>#REF!</v>
      </c>
      <c r="O201" s="85" t="e">
        <f t="shared" si="100"/>
        <v>#REF!</v>
      </c>
      <c r="P201" s="85" t="e">
        <f t="shared" si="100"/>
        <v>#REF!</v>
      </c>
      <c r="Q201" s="85" t="e">
        <f t="shared" si="100"/>
        <v>#REF!</v>
      </c>
    </row>
    <row r="202" spans="3:17" ht="12.75">
      <c r="C202" s="113" t="s">
        <v>437</v>
      </c>
      <c r="D202" s="3" t="s">
        <v>551</v>
      </c>
      <c r="E202" s="3"/>
      <c r="F202" s="3"/>
      <c r="G202" s="3"/>
      <c r="H202" s="85" t="e">
        <f>H131/1000</f>
        <v>#REF!</v>
      </c>
      <c r="I202" s="85" t="e">
        <f aca="true" t="shared" si="101" ref="I202:Q202">I131/1000</f>
        <v>#REF!</v>
      </c>
      <c r="J202" s="85" t="e">
        <f t="shared" si="101"/>
        <v>#REF!</v>
      </c>
      <c r="K202" s="85" t="e">
        <f t="shared" si="101"/>
        <v>#REF!</v>
      </c>
      <c r="L202" s="85" t="e">
        <f t="shared" si="101"/>
        <v>#REF!</v>
      </c>
      <c r="M202" s="85" t="e">
        <f t="shared" si="101"/>
        <v>#REF!</v>
      </c>
      <c r="N202" s="85" t="e">
        <f t="shared" si="101"/>
        <v>#REF!</v>
      </c>
      <c r="O202" s="85" t="e">
        <f t="shared" si="101"/>
        <v>#REF!</v>
      </c>
      <c r="P202" s="85" t="e">
        <f t="shared" si="101"/>
        <v>#REF!</v>
      </c>
      <c r="Q202" s="118" t="e">
        <f t="shared" si="101"/>
        <v>#REF!</v>
      </c>
    </row>
    <row r="203" spans="3:17" ht="12.75">
      <c r="C203" s="113" t="s">
        <v>438</v>
      </c>
      <c r="D203" s="3" t="s">
        <v>435</v>
      </c>
      <c r="E203" s="3"/>
      <c r="F203" s="3"/>
      <c r="G203" s="3"/>
      <c r="H203" s="70" t="e">
        <f>H204*0.143</f>
        <v>#REF!</v>
      </c>
      <c r="I203" s="70" t="e">
        <f aca="true" t="shared" si="102" ref="I203:Q203">I204*0.143</f>
        <v>#REF!</v>
      </c>
      <c r="J203" s="70" t="e">
        <f t="shared" si="102"/>
        <v>#REF!</v>
      </c>
      <c r="K203" s="70" t="e">
        <f t="shared" si="102"/>
        <v>#REF!</v>
      </c>
      <c r="L203" s="70" t="e">
        <f t="shared" si="102"/>
        <v>#REF!</v>
      </c>
      <c r="M203" s="70" t="e">
        <f t="shared" si="102"/>
        <v>#REF!</v>
      </c>
      <c r="N203" s="70" t="e">
        <f t="shared" si="102"/>
        <v>#REF!</v>
      </c>
      <c r="O203" s="70" t="e">
        <f t="shared" si="102"/>
        <v>#REF!</v>
      </c>
      <c r="P203" s="70" t="e">
        <f t="shared" si="102"/>
        <v>#REF!</v>
      </c>
      <c r="Q203" s="70" t="e">
        <f t="shared" si="102"/>
        <v>#REF!</v>
      </c>
    </row>
    <row r="204" spans="3:17" ht="12.75">
      <c r="C204" s="113" t="s">
        <v>438</v>
      </c>
      <c r="D204" s="3" t="s">
        <v>457</v>
      </c>
      <c r="E204" s="3"/>
      <c r="F204" s="3"/>
      <c r="G204" s="3"/>
      <c r="H204" s="85" t="e">
        <f>H110/1000</f>
        <v>#REF!</v>
      </c>
      <c r="I204" s="85" t="e">
        <f aca="true" t="shared" si="103" ref="I204:Q204">I110/1000</f>
        <v>#REF!</v>
      </c>
      <c r="J204" s="85" t="e">
        <f t="shared" si="103"/>
        <v>#REF!</v>
      </c>
      <c r="K204" s="85" t="e">
        <f t="shared" si="103"/>
        <v>#REF!</v>
      </c>
      <c r="L204" s="85" t="e">
        <f t="shared" si="103"/>
        <v>#REF!</v>
      </c>
      <c r="M204" s="85" t="e">
        <f t="shared" si="103"/>
        <v>#REF!</v>
      </c>
      <c r="N204" s="85" t="e">
        <f t="shared" si="103"/>
        <v>#REF!</v>
      </c>
      <c r="O204" s="85" t="e">
        <f t="shared" si="103"/>
        <v>#REF!</v>
      </c>
      <c r="P204" s="85" t="e">
        <f t="shared" si="103"/>
        <v>#REF!</v>
      </c>
      <c r="Q204" s="118" t="e">
        <f t="shared" si="103"/>
        <v>#REF!</v>
      </c>
    </row>
    <row r="205" spans="3:17" ht="12.75">
      <c r="C205" s="113" t="s">
        <v>439</v>
      </c>
      <c r="D205" s="3" t="s">
        <v>435</v>
      </c>
      <c r="E205" s="3"/>
      <c r="F205" s="3"/>
      <c r="G205" s="3"/>
      <c r="H205" s="85" t="e">
        <f>H199-H201-H203</f>
        <v>#REF!</v>
      </c>
      <c r="I205" s="85" t="e">
        <f aca="true" t="shared" si="104" ref="I205:Q205">I199-I201-I203</f>
        <v>#REF!</v>
      </c>
      <c r="J205" s="85" t="e">
        <f t="shared" si="104"/>
        <v>#REF!</v>
      </c>
      <c r="K205" s="85" t="e">
        <f t="shared" si="104"/>
        <v>#REF!</v>
      </c>
      <c r="L205" s="85" t="e">
        <f t="shared" si="104"/>
        <v>#REF!</v>
      </c>
      <c r="M205" s="85" t="e">
        <f t="shared" si="104"/>
        <v>#REF!</v>
      </c>
      <c r="N205" s="85" t="e">
        <f t="shared" si="104"/>
        <v>#REF!</v>
      </c>
      <c r="O205" s="85" t="e">
        <f t="shared" si="104"/>
        <v>#REF!</v>
      </c>
      <c r="P205" s="85" t="e">
        <f t="shared" si="104"/>
        <v>#REF!</v>
      </c>
      <c r="Q205" s="85" t="e">
        <f t="shared" si="104"/>
        <v>#REF!</v>
      </c>
    </row>
    <row r="206" spans="3:17" ht="13.5" thickBot="1">
      <c r="C206" s="115" t="s">
        <v>439</v>
      </c>
      <c r="D206" s="25" t="s">
        <v>486</v>
      </c>
      <c r="E206" s="25"/>
      <c r="F206" s="25"/>
      <c r="G206" s="25"/>
      <c r="H206" s="121" t="e">
        <f>H200-H202-H204</f>
        <v>#REF!</v>
      </c>
      <c r="I206" s="121" t="e">
        <f aca="true" t="shared" si="105" ref="I206:Q206">I200-I202-I204</f>
        <v>#REF!</v>
      </c>
      <c r="J206" s="121" t="e">
        <f t="shared" si="105"/>
        <v>#REF!</v>
      </c>
      <c r="K206" s="121" t="e">
        <f t="shared" si="105"/>
        <v>#REF!</v>
      </c>
      <c r="L206" s="121" t="e">
        <f t="shared" si="105"/>
        <v>#REF!</v>
      </c>
      <c r="M206" s="121" t="e">
        <f t="shared" si="105"/>
        <v>#REF!</v>
      </c>
      <c r="N206" s="121" t="e">
        <f t="shared" si="105"/>
        <v>#REF!</v>
      </c>
      <c r="O206" s="121" t="e">
        <f t="shared" si="105"/>
        <v>#REF!</v>
      </c>
      <c r="P206" s="121" t="e">
        <f t="shared" si="105"/>
        <v>#REF!</v>
      </c>
      <c r="Q206" s="121" t="e">
        <f t="shared" si="105"/>
        <v>#REF!</v>
      </c>
    </row>
    <row r="207" spans="3:17" ht="13.5" thickBot="1">
      <c r="C207" s="355" t="s">
        <v>458</v>
      </c>
      <c r="D207" s="356" t="s">
        <v>14</v>
      </c>
      <c r="E207" s="357" t="e">
        <f>'тэр районы'!D8</f>
        <v>#REF!</v>
      </c>
      <c r="F207" s="357" t="e">
        <f>'тэр районы'!L8</f>
        <v>#REF!</v>
      </c>
      <c r="G207" s="357" t="e">
        <f>'тэр районы'!T8</f>
        <v>#REF!</v>
      </c>
      <c r="H207" s="357" t="e">
        <f>E207</f>
        <v>#REF!</v>
      </c>
      <c r="I207" s="357" t="e">
        <f aca="true" t="shared" si="106" ref="I207:Q207">H207</f>
        <v>#REF!</v>
      </c>
      <c r="J207" s="357" t="e">
        <f t="shared" si="106"/>
        <v>#REF!</v>
      </c>
      <c r="K207" s="357" t="e">
        <f t="shared" si="106"/>
        <v>#REF!</v>
      </c>
      <c r="L207" s="357" t="e">
        <f t="shared" si="106"/>
        <v>#REF!</v>
      </c>
      <c r="M207" s="357" t="e">
        <f t="shared" si="106"/>
        <v>#REF!</v>
      </c>
      <c r="N207" s="357" t="e">
        <f t="shared" si="106"/>
        <v>#REF!</v>
      </c>
      <c r="O207" s="357" t="e">
        <f t="shared" si="106"/>
        <v>#REF!</v>
      </c>
      <c r="P207" s="357" t="e">
        <f t="shared" si="106"/>
        <v>#REF!</v>
      </c>
      <c r="Q207" s="357" t="e">
        <f t="shared" si="106"/>
        <v>#REF!</v>
      </c>
    </row>
    <row r="208" spans="3:17" ht="12.75">
      <c r="C208" s="354" t="s">
        <v>459</v>
      </c>
      <c r="D208" s="329" t="s">
        <v>434</v>
      </c>
      <c r="E208" s="73"/>
      <c r="F208" s="73"/>
      <c r="G208" s="73"/>
      <c r="H208" s="78" t="e">
        <f>H207*H189/100</f>
        <v>#REF!</v>
      </c>
      <c r="I208" s="78" t="e">
        <f aca="true" t="shared" si="107" ref="I208:Q208">I207*I189/100</f>
        <v>#REF!</v>
      </c>
      <c r="J208" s="78" t="e">
        <f t="shared" si="107"/>
        <v>#REF!</v>
      </c>
      <c r="K208" s="78" t="e">
        <f t="shared" si="107"/>
        <v>#REF!</v>
      </c>
      <c r="L208" s="78" t="e">
        <f t="shared" si="107"/>
        <v>#REF!</v>
      </c>
      <c r="M208" s="78" t="e">
        <f t="shared" si="107"/>
        <v>#REF!</v>
      </c>
      <c r="N208" s="78" t="e">
        <f t="shared" si="107"/>
        <v>#REF!</v>
      </c>
      <c r="O208" s="78" t="e">
        <f t="shared" si="107"/>
        <v>#REF!</v>
      </c>
      <c r="P208" s="78" t="e">
        <f t="shared" si="107"/>
        <v>#REF!</v>
      </c>
      <c r="Q208" s="78" t="e">
        <f t="shared" si="107"/>
        <v>#REF!</v>
      </c>
    </row>
    <row r="209" spans="3:18" ht="12.75">
      <c r="C209" s="122" t="s">
        <v>461</v>
      </c>
      <c r="D209" s="123" t="s">
        <v>460</v>
      </c>
      <c r="E209" s="3"/>
      <c r="F209" s="3"/>
      <c r="G209" s="3"/>
      <c r="H209" s="124" t="e">
        <f>H208*1000/1.137</f>
        <v>#REF!</v>
      </c>
      <c r="I209" s="124" t="e">
        <f aca="true" t="shared" si="108" ref="I209:P209">I208*1000/1.137</f>
        <v>#REF!</v>
      </c>
      <c r="J209" s="124" t="e">
        <f t="shared" si="108"/>
        <v>#REF!</v>
      </c>
      <c r="K209" s="124" t="e">
        <f t="shared" si="108"/>
        <v>#REF!</v>
      </c>
      <c r="L209" s="124" t="e">
        <f t="shared" si="108"/>
        <v>#REF!</v>
      </c>
      <c r="M209" s="124" t="e">
        <f t="shared" si="108"/>
        <v>#REF!</v>
      </c>
      <c r="N209" s="124" t="e">
        <f t="shared" si="108"/>
        <v>#REF!</v>
      </c>
      <c r="O209" s="124" t="e">
        <f t="shared" si="108"/>
        <v>#REF!</v>
      </c>
      <c r="P209" s="124" t="e">
        <f t="shared" si="108"/>
        <v>#REF!</v>
      </c>
      <c r="Q209" s="284" t="e">
        <f>Q208*1000/1.137</f>
        <v>#REF!</v>
      </c>
      <c r="R209" s="365" t="e">
        <f>'тэр районы'!AB20</f>
        <v>#REF!</v>
      </c>
    </row>
    <row r="210" spans="3:17" ht="12.75">
      <c r="C210" s="113" t="s">
        <v>437</v>
      </c>
      <c r="D210" s="3" t="s">
        <v>435</v>
      </c>
      <c r="E210" s="3"/>
      <c r="F210" s="3"/>
      <c r="G210" s="3"/>
      <c r="H210" s="85"/>
      <c r="I210" s="85"/>
      <c r="J210" s="85"/>
      <c r="K210" s="85"/>
      <c r="L210" s="85"/>
      <c r="M210" s="85"/>
      <c r="N210" s="85"/>
      <c r="O210" s="85"/>
      <c r="P210" s="85"/>
      <c r="Q210" s="118"/>
    </row>
    <row r="211" spans="3:17" ht="12.75">
      <c r="C211" s="113" t="s">
        <v>438</v>
      </c>
      <c r="D211" s="3" t="s">
        <v>435</v>
      </c>
      <c r="E211" s="3"/>
      <c r="F211" s="3"/>
      <c r="G211" s="3"/>
      <c r="H211" s="85"/>
      <c r="I211" s="85"/>
      <c r="J211" s="85"/>
      <c r="K211" s="85"/>
      <c r="L211" s="85"/>
      <c r="M211" s="85"/>
      <c r="N211" s="85"/>
      <c r="O211" s="85"/>
      <c r="P211" s="85"/>
      <c r="Q211" s="118"/>
    </row>
    <row r="212" spans="3:17" ht="12.75">
      <c r="C212" s="113" t="s">
        <v>438</v>
      </c>
      <c r="D212" s="3" t="s">
        <v>463</v>
      </c>
      <c r="E212" s="3"/>
      <c r="F212" s="3"/>
      <c r="G212" s="3"/>
      <c r="H212" s="85"/>
      <c r="I212" s="85"/>
      <c r="J212" s="85"/>
      <c r="K212" s="85"/>
      <c r="L212" s="85"/>
      <c r="M212" s="85"/>
      <c r="N212" s="85"/>
      <c r="O212" s="85"/>
      <c r="P212" s="85"/>
      <c r="Q212" s="118"/>
    </row>
    <row r="213" spans="3:17" ht="13.5" thickBot="1">
      <c r="C213" s="116" t="s">
        <v>439</v>
      </c>
      <c r="D213" s="58" t="s">
        <v>435</v>
      </c>
      <c r="E213" s="58"/>
      <c r="F213" s="58"/>
      <c r="G213" s="58"/>
      <c r="H213" s="349"/>
      <c r="I213" s="349"/>
      <c r="J213" s="349"/>
      <c r="K213" s="349"/>
      <c r="L213" s="349"/>
      <c r="M213" s="349"/>
      <c r="N213" s="349"/>
      <c r="O213" s="349"/>
      <c r="P213" s="349"/>
      <c r="Q213" s="350"/>
    </row>
    <row r="214" spans="3:17" ht="13.5" thickBot="1">
      <c r="C214" s="355" t="s">
        <v>444</v>
      </c>
      <c r="D214" s="356" t="s">
        <v>445</v>
      </c>
      <c r="E214" s="357" t="e">
        <f>'тэр районы'!D14</f>
        <v>#REF!</v>
      </c>
      <c r="F214" s="357" t="e">
        <f>'тэр районы'!L14</f>
        <v>#REF!</v>
      </c>
      <c r="G214" s="357" t="e">
        <f>'тэр районы'!T14</f>
        <v>#REF!</v>
      </c>
      <c r="H214" s="357" t="e">
        <f>E214</f>
        <v>#REF!</v>
      </c>
      <c r="I214" s="357" t="e">
        <f>H214</f>
        <v>#REF!</v>
      </c>
      <c r="J214" s="357" t="e">
        <f aca="true" t="shared" si="109" ref="J214:Q214">I214</f>
        <v>#REF!</v>
      </c>
      <c r="K214" s="357" t="e">
        <f t="shared" si="109"/>
        <v>#REF!</v>
      </c>
      <c r="L214" s="357" t="e">
        <f t="shared" si="109"/>
        <v>#REF!</v>
      </c>
      <c r="M214" s="357" t="e">
        <f>L214</f>
        <v>#REF!</v>
      </c>
      <c r="N214" s="357" t="e">
        <f t="shared" si="109"/>
        <v>#REF!</v>
      </c>
      <c r="O214" s="357" t="e">
        <f t="shared" si="109"/>
        <v>#REF!</v>
      </c>
      <c r="P214" s="357" t="e">
        <f t="shared" si="109"/>
        <v>#REF!</v>
      </c>
      <c r="Q214" s="357" t="e">
        <f t="shared" si="109"/>
        <v>#REF!</v>
      </c>
    </row>
    <row r="215" spans="3:17" ht="12.75">
      <c r="C215" s="358"/>
      <c r="D215" s="338" t="s">
        <v>434</v>
      </c>
      <c r="F215" s="73"/>
      <c r="G215" s="73"/>
      <c r="H215" s="78" t="e">
        <f>H189*H214/100</f>
        <v>#REF!</v>
      </c>
      <c r="I215" s="78" t="e">
        <f aca="true" t="shared" si="110" ref="I215:Q215">I189*I214/100</f>
        <v>#REF!</v>
      </c>
      <c r="J215" s="78" t="e">
        <f t="shared" si="110"/>
        <v>#REF!</v>
      </c>
      <c r="K215" s="78" t="e">
        <f t="shared" si="110"/>
        <v>#REF!</v>
      </c>
      <c r="L215" s="78" t="e">
        <f t="shared" si="110"/>
        <v>#REF!</v>
      </c>
      <c r="M215" s="78" t="e">
        <f t="shared" si="110"/>
        <v>#REF!</v>
      </c>
      <c r="N215" s="78" t="e">
        <f t="shared" si="110"/>
        <v>#REF!</v>
      </c>
      <c r="O215" s="78" t="e">
        <f t="shared" si="110"/>
        <v>#REF!</v>
      </c>
      <c r="P215" s="78" t="e">
        <f t="shared" si="110"/>
        <v>#REF!</v>
      </c>
      <c r="Q215" s="78" t="e">
        <f t="shared" si="110"/>
        <v>#REF!</v>
      </c>
    </row>
    <row r="216" spans="3:17" ht="12.75">
      <c r="C216" s="351" t="s">
        <v>446</v>
      </c>
      <c r="D216" s="352" t="s">
        <v>463</v>
      </c>
      <c r="E216" s="352"/>
      <c r="F216" s="352"/>
      <c r="G216" s="352"/>
      <c r="H216" s="353" t="e">
        <f>H215*1000/1.137</f>
        <v>#REF!</v>
      </c>
      <c r="I216" s="353" t="e">
        <f aca="true" t="shared" si="111" ref="I216:Q216">I215*1000/1.137</f>
        <v>#REF!</v>
      </c>
      <c r="J216" s="353" t="e">
        <f t="shared" si="111"/>
        <v>#REF!</v>
      </c>
      <c r="K216" s="353" t="e">
        <f t="shared" si="111"/>
        <v>#REF!</v>
      </c>
      <c r="L216" s="353" t="e">
        <f t="shared" si="111"/>
        <v>#REF!</v>
      </c>
      <c r="M216" s="353" t="e">
        <f t="shared" si="111"/>
        <v>#REF!</v>
      </c>
      <c r="N216" s="353" t="e">
        <f t="shared" si="111"/>
        <v>#REF!</v>
      </c>
      <c r="O216" s="353" t="e">
        <f t="shared" si="111"/>
        <v>#REF!</v>
      </c>
      <c r="P216" s="353" t="e">
        <f t="shared" si="111"/>
        <v>#REF!</v>
      </c>
      <c r="Q216" s="353" t="e">
        <f t="shared" si="111"/>
        <v>#REF!</v>
      </c>
    </row>
    <row r="217" spans="3:17" ht="12.75">
      <c r="C217" s="6"/>
      <c r="D217" s="3"/>
      <c r="E217" s="3"/>
      <c r="F217" s="3"/>
      <c r="G217" s="3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3:17" ht="13.5" thickBot="1">
      <c r="C218" s="68"/>
      <c r="D218" s="58"/>
      <c r="E218" s="58"/>
      <c r="F218" s="58"/>
      <c r="G218" s="58"/>
      <c r="H218" s="349"/>
      <c r="I218" s="349"/>
      <c r="J218" s="349"/>
      <c r="K218" s="349"/>
      <c r="L218" s="349"/>
      <c r="M218" s="349"/>
      <c r="N218" s="349"/>
      <c r="O218" s="349"/>
      <c r="P218" s="349"/>
      <c r="Q218" s="349"/>
    </row>
    <row r="219" spans="3:17" ht="13.5" thickBot="1">
      <c r="C219" s="355" t="s">
        <v>447</v>
      </c>
      <c r="D219" s="356" t="s">
        <v>448</v>
      </c>
      <c r="E219" s="356"/>
      <c r="F219" s="356"/>
      <c r="G219" s="356"/>
      <c r="H219" s="357" t="e">
        <f>H189-H191-H208-H215</f>
        <v>#REF!</v>
      </c>
      <c r="I219" s="357" t="e">
        <f aca="true" t="shared" si="112" ref="I219:P219">I189-I191-I208-I215</f>
        <v>#REF!</v>
      </c>
      <c r="J219" s="357" t="e">
        <f t="shared" si="112"/>
        <v>#REF!</v>
      </c>
      <c r="K219" s="357" t="e">
        <f t="shared" si="112"/>
        <v>#REF!</v>
      </c>
      <c r="L219" s="357" t="e">
        <f t="shared" si="112"/>
        <v>#REF!</v>
      </c>
      <c r="M219" s="357" t="e">
        <f t="shared" si="112"/>
        <v>#REF!</v>
      </c>
      <c r="N219" s="357" t="e">
        <f t="shared" si="112"/>
        <v>#REF!</v>
      </c>
      <c r="O219" s="357" t="e">
        <f t="shared" si="112"/>
        <v>#REF!</v>
      </c>
      <c r="P219" s="357" t="e">
        <f t="shared" si="112"/>
        <v>#REF!</v>
      </c>
      <c r="Q219" s="357" t="e">
        <f>Q189-Q191-Q208-Q215</f>
        <v>#REF!</v>
      </c>
    </row>
    <row r="220" spans="3:17" ht="12.75">
      <c r="C220" s="91"/>
      <c r="D220" s="125"/>
      <c r="E220" s="125"/>
      <c r="F220" s="125"/>
      <c r="G220" s="125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</row>
    <row r="221" spans="3:17" ht="13.5" thickBot="1">
      <c r="C221" s="91"/>
      <c r="D221" s="125"/>
      <c r="E221" s="125"/>
      <c r="F221" s="125"/>
      <c r="G221" s="125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</row>
    <row r="222" spans="3:17" ht="16.5" thickBot="1">
      <c r="C222" s="130" t="s">
        <v>389</v>
      </c>
      <c r="D222" s="131" t="str">
        <f>D46</f>
        <v>куб.м</v>
      </c>
      <c r="E222" s="205" t="e">
        <f>E46</f>
        <v>#REF!</v>
      </c>
      <c r="F222" s="205" t="e">
        <f aca="true" t="shared" si="113" ref="F222:Q222">F46</f>
        <v>#REF!</v>
      </c>
      <c r="G222" s="205" t="e">
        <f t="shared" si="113"/>
        <v>#REF!</v>
      </c>
      <c r="H222" s="205" t="e">
        <f t="shared" si="113"/>
        <v>#REF!</v>
      </c>
      <c r="I222" s="205" t="e">
        <f t="shared" si="113"/>
        <v>#REF!</v>
      </c>
      <c r="J222" s="205" t="e">
        <f t="shared" si="113"/>
        <v>#REF!</v>
      </c>
      <c r="K222" s="205" t="e">
        <f t="shared" si="113"/>
        <v>#REF!</v>
      </c>
      <c r="L222" s="205" t="e">
        <f t="shared" si="113"/>
        <v>#REF!</v>
      </c>
      <c r="M222" s="205" t="e">
        <f t="shared" si="113"/>
        <v>#REF!</v>
      </c>
      <c r="N222" s="205" t="e">
        <f t="shared" si="113"/>
        <v>#REF!</v>
      </c>
      <c r="O222" s="205" t="e">
        <f t="shared" si="113"/>
        <v>#REF!</v>
      </c>
      <c r="P222" s="205" t="e">
        <f t="shared" si="113"/>
        <v>#REF!</v>
      </c>
      <c r="Q222" s="206" t="e">
        <f t="shared" si="113"/>
        <v>#REF!</v>
      </c>
    </row>
    <row r="223" spans="3:17" ht="32.25" thickBot="1">
      <c r="C223" s="201" t="s">
        <v>590</v>
      </c>
      <c r="D223" s="203" t="s">
        <v>591</v>
      </c>
      <c r="E223" s="207"/>
      <c r="F223" s="131"/>
      <c r="G223" s="131"/>
      <c r="H223" s="131" t="e">
        <f>(G222-H222)/1000</f>
        <v>#REF!</v>
      </c>
      <c r="I223" s="131" t="e">
        <f aca="true" t="shared" si="114" ref="I223:Q223">(H222-I222)/1000</f>
        <v>#REF!</v>
      </c>
      <c r="J223" s="131" t="e">
        <f t="shared" si="114"/>
        <v>#REF!</v>
      </c>
      <c r="K223" s="131" t="e">
        <f t="shared" si="114"/>
        <v>#REF!</v>
      </c>
      <c r="L223" s="131" t="e">
        <f t="shared" si="114"/>
        <v>#REF!</v>
      </c>
      <c r="M223" s="131" t="e">
        <f t="shared" si="114"/>
        <v>#REF!</v>
      </c>
      <c r="N223" s="131" t="e">
        <f t="shared" si="114"/>
        <v>#REF!</v>
      </c>
      <c r="O223" s="131" t="e">
        <f t="shared" si="114"/>
        <v>#REF!</v>
      </c>
      <c r="P223" s="131" t="e">
        <f t="shared" si="114"/>
        <v>#REF!</v>
      </c>
      <c r="Q223" s="131" t="e">
        <f t="shared" si="114"/>
        <v>#REF!</v>
      </c>
    </row>
    <row r="224" spans="3:17" ht="48" thickBot="1">
      <c r="C224" s="201" t="s">
        <v>442</v>
      </c>
      <c r="D224" s="203" t="s">
        <v>591</v>
      </c>
      <c r="E224" s="208"/>
      <c r="F224" s="16"/>
      <c r="G224" s="16"/>
      <c r="H224" s="202" t="e">
        <f>H182/1000</f>
        <v>#REF!</v>
      </c>
      <c r="I224" s="202" t="e">
        <f aca="true" t="shared" si="115" ref="I224:Q224">I182/1000</f>
        <v>#REF!</v>
      </c>
      <c r="J224" s="202" t="e">
        <f t="shared" si="115"/>
        <v>#REF!</v>
      </c>
      <c r="K224" s="202" t="e">
        <f t="shared" si="115"/>
        <v>#REF!</v>
      </c>
      <c r="L224" s="202" t="e">
        <f t="shared" si="115"/>
        <v>#REF!</v>
      </c>
      <c r="M224" s="202" t="e">
        <f t="shared" si="115"/>
        <v>#REF!</v>
      </c>
      <c r="N224" s="202" t="e">
        <f t="shared" si="115"/>
        <v>#REF!</v>
      </c>
      <c r="O224" s="202" t="e">
        <f t="shared" si="115"/>
        <v>#REF!</v>
      </c>
      <c r="P224" s="202" t="e">
        <f t="shared" si="115"/>
        <v>#REF!</v>
      </c>
      <c r="Q224" s="209" t="e">
        <f t="shared" si="115"/>
        <v>#REF!</v>
      </c>
    </row>
    <row r="225" spans="3:17" ht="48" thickBot="1">
      <c r="C225" s="132" t="s">
        <v>443</v>
      </c>
      <c r="D225" s="204" t="s">
        <v>464</v>
      </c>
      <c r="E225" s="210"/>
      <c r="F225" s="211"/>
      <c r="G225" s="211"/>
      <c r="H225" s="212" t="e">
        <f>H223+H224</f>
        <v>#REF!</v>
      </c>
      <c r="I225" s="212" t="e">
        <f aca="true" t="shared" si="116" ref="I225:Q225">I223+I224</f>
        <v>#REF!</v>
      </c>
      <c r="J225" s="212" t="e">
        <f t="shared" si="116"/>
        <v>#REF!</v>
      </c>
      <c r="K225" s="212" t="e">
        <f t="shared" si="116"/>
        <v>#REF!</v>
      </c>
      <c r="L225" s="212" t="e">
        <f t="shared" si="116"/>
        <v>#REF!</v>
      </c>
      <c r="M225" s="212" t="e">
        <f t="shared" si="116"/>
        <v>#REF!</v>
      </c>
      <c r="N225" s="212" t="e">
        <f t="shared" si="116"/>
        <v>#REF!</v>
      </c>
      <c r="O225" s="212" t="e">
        <f t="shared" si="116"/>
        <v>#REF!</v>
      </c>
      <c r="P225" s="212" t="e">
        <f t="shared" si="116"/>
        <v>#REF!</v>
      </c>
      <c r="Q225" s="213" t="e">
        <f t="shared" si="116"/>
        <v>#REF!</v>
      </c>
    </row>
    <row r="226" spans="3:17" ht="15.75">
      <c r="C226" s="128"/>
      <c r="D226" s="129"/>
      <c r="E226" s="129"/>
      <c r="F226" s="129"/>
      <c r="G226" s="129"/>
      <c r="H226" s="129"/>
      <c r="I226" s="133" t="e">
        <f>I224-H224</f>
        <v>#REF!</v>
      </c>
      <c r="J226" s="129"/>
      <c r="K226" s="129"/>
      <c r="L226" s="129"/>
      <c r="M226" s="129"/>
      <c r="N226" s="129"/>
      <c r="O226" s="129"/>
      <c r="P226" s="129"/>
      <c r="Q226" s="129"/>
    </row>
    <row r="227" spans="3:17" ht="15.75"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3:17" ht="15.75"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3:17" ht="15.75"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3:18" ht="15.75">
      <c r="C230" s="128"/>
      <c r="D230" s="129"/>
      <c r="E230" s="129"/>
      <c r="F230" s="129"/>
      <c r="G230" s="129"/>
      <c r="H230" s="133" t="e">
        <f aca="true" t="shared" si="117" ref="H230:P230">H190-G190</f>
        <v>#REF!</v>
      </c>
      <c r="I230" s="133" t="e">
        <f t="shared" si="117"/>
        <v>#REF!</v>
      </c>
      <c r="J230" s="133" t="e">
        <f t="shared" si="117"/>
        <v>#REF!</v>
      </c>
      <c r="K230" s="133" t="e">
        <f t="shared" si="117"/>
        <v>#REF!</v>
      </c>
      <c r="L230" s="133" t="e">
        <f t="shared" si="117"/>
        <v>#REF!</v>
      </c>
      <c r="M230" s="133" t="e">
        <f t="shared" si="117"/>
        <v>#REF!</v>
      </c>
      <c r="N230" s="133" t="e">
        <f t="shared" si="117"/>
        <v>#REF!</v>
      </c>
      <c r="O230" s="133" t="e">
        <f t="shared" si="117"/>
        <v>#REF!</v>
      </c>
      <c r="P230" s="133" t="e">
        <f t="shared" si="117"/>
        <v>#REF!</v>
      </c>
      <c r="Q230" s="133" t="e">
        <f>Q190-P190</f>
        <v>#REF!</v>
      </c>
      <c r="R230" s="80" t="e">
        <f>SUM(H230:Q230)</f>
        <v>#REF!</v>
      </c>
    </row>
    <row r="231" spans="3:18" ht="15.75">
      <c r="C231" s="128"/>
      <c r="D231" s="129"/>
      <c r="E231" s="129"/>
      <c r="F231" s="129"/>
      <c r="G231" s="129"/>
      <c r="H231" s="133"/>
      <c r="I231" s="133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 s="80">
        <f>SUM(I231:Q231)</f>
        <v>0</v>
      </c>
    </row>
    <row r="232" spans="3:17" ht="15.75">
      <c r="C232" s="128"/>
      <c r="D232" s="129"/>
      <c r="E232" s="129"/>
      <c r="F232" s="129"/>
      <c r="G232" s="129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3:17" ht="13.5" thickBot="1"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3:8" ht="13.5" thickBot="1">
      <c r="C234" s="2" t="s">
        <v>467</v>
      </c>
      <c r="G234" s="93" t="s">
        <v>452</v>
      </c>
      <c r="H234" s="94">
        <v>0</v>
      </c>
    </row>
    <row r="235" spans="5:17" ht="12.75">
      <c r="E235">
        <v>2007</v>
      </c>
      <c r="F235">
        <v>2008</v>
      </c>
      <c r="G235">
        <v>2009</v>
      </c>
      <c r="H235">
        <v>2010</v>
      </c>
      <c r="I235">
        <v>2011</v>
      </c>
      <c r="J235">
        <v>2012</v>
      </c>
      <c r="K235">
        <v>2013</v>
      </c>
      <c r="L235">
        <v>2014</v>
      </c>
      <c r="M235">
        <v>2015</v>
      </c>
      <c r="N235">
        <v>2016</v>
      </c>
      <c r="O235">
        <v>2017</v>
      </c>
      <c r="P235">
        <v>2018</v>
      </c>
      <c r="Q235">
        <v>2019</v>
      </c>
    </row>
    <row r="236" spans="3:17" ht="12.75">
      <c r="C236" s="6" t="s">
        <v>451</v>
      </c>
      <c r="D236" s="3" t="s">
        <v>430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85">
        <v>0</v>
      </c>
      <c r="K236" s="85">
        <f>$E$236-($E$236-$L$236)*0.528</f>
        <v>0</v>
      </c>
      <c r="L236" s="3">
        <v>0</v>
      </c>
      <c r="M236" s="3"/>
      <c r="N236" s="3"/>
      <c r="O236" s="3"/>
      <c r="P236" s="3"/>
      <c r="Q236" s="3"/>
    </row>
    <row r="237" spans="3:17" ht="12.75">
      <c r="C237" s="6" t="s">
        <v>440</v>
      </c>
      <c r="D237" s="3" t="s">
        <v>430</v>
      </c>
      <c r="E237" s="3"/>
      <c r="F237" s="3"/>
      <c r="G237" s="3"/>
      <c r="H237" s="3"/>
      <c r="I237" s="3">
        <f>$E$236-I236</f>
        <v>0</v>
      </c>
      <c r="J237" s="3">
        <f>$E$236-J236</f>
        <v>0</v>
      </c>
      <c r="K237" s="3">
        <f>$E$236-K236</f>
        <v>0</v>
      </c>
      <c r="L237" s="3">
        <f>$E$236-L236</f>
        <v>0</v>
      </c>
      <c r="M237" s="3"/>
      <c r="N237" s="3"/>
      <c r="O237" s="3"/>
      <c r="P237" s="3"/>
      <c r="Q237" s="3"/>
    </row>
    <row r="238" spans="3:17" ht="12.75">
      <c r="C238" s="6"/>
      <c r="D238" s="3" t="s">
        <v>434</v>
      </c>
      <c r="E238" s="3"/>
      <c r="F238" s="3"/>
      <c r="G238" s="3"/>
      <c r="H238" s="3"/>
      <c r="I238" s="3">
        <f>I237*0.123/1000</f>
        <v>0</v>
      </c>
      <c r="J238" s="3">
        <f aca="true" t="shared" si="118" ref="J238:Q238">J237*0.123/1000</f>
        <v>0</v>
      </c>
      <c r="K238" s="3">
        <f t="shared" si="118"/>
        <v>0</v>
      </c>
      <c r="L238" s="3">
        <f t="shared" si="118"/>
        <v>0</v>
      </c>
      <c r="M238" s="3">
        <f t="shared" si="118"/>
        <v>0</v>
      </c>
      <c r="N238" s="3">
        <f t="shared" si="118"/>
        <v>0</v>
      </c>
      <c r="O238" s="3">
        <f t="shared" si="118"/>
        <v>0</v>
      </c>
      <c r="P238" s="3">
        <f t="shared" si="118"/>
        <v>0</v>
      </c>
      <c r="Q238" s="3">
        <f t="shared" si="118"/>
        <v>0</v>
      </c>
    </row>
    <row r="239" spans="3:17" ht="12.75"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</sheetData>
  <sheetProtection password="CF6E" sheet="1" objects="1" scenarios="1" selectLockedCells="1" selectUnlockedCells="1"/>
  <mergeCells count="4">
    <mergeCell ref="E16:G16"/>
    <mergeCell ref="B141:B152"/>
    <mergeCell ref="B154:B160"/>
    <mergeCell ref="A1:J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23"/>
  <sheetViews>
    <sheetView zoomScale="75" zoomScaleNormal="75" zoomScalePageLayoutView="0" workbookViewId="0" topLeftCell="A7">
      <selection activeCell="I12" sqref="I12"/>
    </sheetView>
  </sheetViews>
  <sheetFormatPr defaultColWidth="9.140625" defaultRowHeight="12.75"/>
  <cols>
    <col min="1" max="1" width="9.140625" style="135" customWidth="1"/>
    <col min="2" max="2" width="25.28125" style="135" hidden="1" customWidth="1"/>
    <col min="3" max="3" width="15.140625" style="197" customWidth="1"/>
    <col min="4" max="4" width="29.421875" style="135" customWidth="1"/>
    <col min="5" max="6" width="9.140625" style="135" customWidth="1"/>
    <col min="7" max="7" width="10.140625" style="135" hidden="1" customWidth="1"/>
    <col min="8" max="8" width="9.28125" style="135" customWidth="1"/>
    <col min="9" max="9" width="9.140625" style="135" customWidth="1"/>
    <col min="10" max="10" width="9.8515625" style="135" customWidth="1"/>
    <col min="11" max="11" width="9.28125" style="135" customWidth="1"/>
    <col min="12" max="12" width="8.8515625" style="135" customWidth="1"/>
    <col min="13" max="13" width="9.00390625" style="135" customWidth="1"/>
    <col min="14" max="14" width="9.421875" style="135" customWidth="1"/>
    <col min="15" max="15" width="9.7109375" style="135" customWidth="1"/>
    <col min="16" max="16" width="9.57421875" style="135" customWidth="1"/>
    <col min="17" max="17" width="8.8515625" style="135" customWidth="1"/>
    <col min="18" max="18" width="9.140625" style="135" customWidth="1"/>
    <col min="19" max="19" width="15.00390625" style="135" customWidth="1"/>
    <col min="20" max="20" width="12.57421875" style="135" customWidth="1"/>
    <col min="21" max="16384" width="9.140625" style="135" customWidth="1"/>
  </cols>
  <sheetData>
    <row r="2" ht="15" thickBot="1"/>
    <row r="3" spans="1:19" ht="15" thickBot="1">
      <c r="A3" s="514" t="s">
        <v>5</v>
      </c>
      <c r="B3" s="514" t="s">
        <v>6</v>
      </c>
      <c r="C3" s="514" t="s">
        <v>7</v>
      </c>
      <c r="D3" s="136" t="s">
        <v>8</v>
      </c>
      <c r="E3" s="516" t="s">
        <v>9</v>
      </c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8"/>
      <c r="S3" s="514" t="s">
        <v>10</v>
      </c>
    </row>
    <row r="4" spans="1:19" ht="44.25" customHeight="1" thickBot="1">
      <c r="A4" s="515"/>
      <c r="B4" s="515"/>
      <c r="C4" s="515"/>
      <c r="D4" s="137" t="s">
        <v>465</v>
      </c>
      <c r="E4" s="137">
        <v>2007</v>
      </c>
      <c r="F4" s="137">
        <v>2008</v>
      </c>
      <c r="G4" s="137">
        <v>2009</v>
      </c>
      <c r="H4" s="137">
        <v>2010</v>
      </c>
      <c r="I4" s="137">
        <v>2011</v>
      </c>
      <c r="J4" s="137">
        <v>2012</v>
      </c>
      <c r="K4" s="137">
        <v>2013</v>
      </c>
      <c r="L4" s="137">
        <v>2014</v>
      </c>
      <c r="M4" s="137">
        <v>2015</v>
      </c>
      <c r="N4" s="137">
        <v>2016</v>
      </c>
      <c r="O4" s="137">
        <v>2017</v>
      </c>
      <c r="P4" s="137">
        <v>2018</v>
      </c>
      <c r="Q4" s="137">
        <v>2019</v>
      </c>
      <c r="R4" s="137">
        <v>2020</v>
      </c>
      <c r="S4" s="515"/>
    </row>
    <row r="5" spans="1:19" ht="15.75" thickBot="1">
      <c r="A5" s="138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4">
        <v>8</v>
      </c>
      <c r="I5" s="134">
        <v>9</v>
      </c>
      <c r="J5" s="134">
        <v>10</v>
      </c>
      <c r="K5" s="134">
        <v>11</v>
      </c>
      <c r="L5" s="134">
        <v>12</v>
      </c>
      <c r="M5" s="134">
        <v>13</v>
      </c>
      <c r="N5" s="134">
        <v>14</v>
      </c>
      <c r="O5" s="134">
        <v>15</v>
      </c>
      <c r="P5" s="134">
        <v>16</v>
      </c>
      <c r="Q5" s="134">
        <v>17</v>
      </c>
      <c r="R5" s="134">
        <v>18</v>
      </c>
      <c r="S5" s="134">
        <v>19</v>
      </c>
    </row>
    <row r="6" spans="1:19" ht="31.5" customHeight="1" thickBot="1">
      <c r="A6" s="516" t="s">
        <v>11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8"/>
    </row>
    <row r="7" spans="1:19" ht="161.25" customHeight="1" thickBot="1">
      <c r="A7" s="138" t="s">
        <v>12</v>
      </c>
      <c r="B7" s="134" t="s">
        <v>13</v>
      </c>
      <c r="C7" s="134" t="s">
        <v>14</v>
      </c>
      <c r="D7" s="134" t="s">
        <v>15</v>
      </c>
      <c r="E7" s="139" t="e">
        <f>((#REF!/#REF!)/(#REF!/#REF!))*100</f>
        <v>#REF!</v>
      </c>
      <c r="F7" s="139" t="e">
        <f>((#REF!/#REF!)/(#REF!/#REF!))*100</f>
        <v>#REF!</v>
      </c>
      <c r="G7" s="139" t="e">
        <f>((#REF!/#REF!)/(#REF!/#REF!))*100</f>
        <v>#REF!</v>
      </c>
      <c r="H7" s="139" t="e">
        <f>((#REF!/#REF!)/(#REF!/#REF!))*100</f>
        <v>#REF!</v>
      </c>
      <c r="I7" s="139" t="e">
        <f>((#REF!/#REF!)/(#REF!/#REF!))*100</f>
        <v>#REF!</v>
      </c>
      <c r="J7" s="139" t="e">
        <f>((#REF!/#REF!)/(#REF!/#REF!))*100</f>
        <v>#REF!</v>
      </c>
      <c r="K7" s="139" t="e">
        <f>((#REF!/#REF!)/(#REF!/#REF!))*100</f>
        <v>#REF!</v>
      </c>
      <c r="L7" s="139" t="e">
        <f>((#REF!/#REF!)/(#REF!/#REF!))*100</f>
        <v>#REF!</v>
      </c>
      <c r="M7" s="139" t="e">
        <f>((#REF!/#REF!)/(#REF!/#REF!))*100</f>
        <v>#REF!</v>
      </c>
      <c r="N7" s="139" t="e">
        <f>((#REF!/#REF!)/(#REF!/#REF!))*100</f>
        <v>#REF!</v>
      </c>
      <c r="O7" s="139" t="e">
        <f>((#REF!/#REF!)/(#REF!/#REF!))*100</f>
        <v>#REF!</v>
      </c>
      <c r="P7" s="139" t="e">
        <f>((#REF!/#REF!)/(#REF!/#REF!))*100</f>
        <v>#REF!</v>
      </c>
      <c r="Q7" s="139" t="e">
        <f>((#REF!/#REF!)/(#REF!/#REF!))*100</f>
        <v>#REF!</v>
      </c>
      <c r="R7" s="134"/>
      <c r="S7" s="134" t="s">
        <v>16</v>
      </c>
    </row>
    <row r="8" spans="1:19" ht="174" customHeight="1" thickBot="1">
      <c r="A8" s="138" t="s">
        <v>17</v>
      </c>
      <c r="B8" s="134" t="s">
        <v>18</v>
      </c>
      <c r="C8" s="134" t="s">
        <v>14</v>
      </c>
      <c r="D8" s="134" t="s">
        <v>19</v>
      </c>
      <c r="E8" s="139" t="e">
        <f>#REF!/#REF!*100</f>
        <v>#REF!</v>
      </c>
      <c r="F8" s="139" t="e">
        <f>#REF!/#REF!*100</f>
        <v>#REF!</v>
      </c>
      <c r="G8" s="182" t="e">
        <f>#REF!/#REF!*100</f>
        <v>#REF!</v>
      </c>
      <c r="H8" s="182" t="e">
        <f>#REF!/#REF!*100</f>
        <v>#REF!</v>
      </c>
      <c r="I8" s="139" t="e">
        <f>#REF!/#REF!*100</f>
        <v>#REF!</v>
      </c>
      <c r="J8" s="134" t="e">
        <f>#REF!/#REF!*100</f>
        <v>#REF!</v>
      </c>
      <c r="K8" s="134" t="e">
        <f>#REF!/#REF!*100</f>
        <v>#REF!</v>
      </c>
      <c r="L8" s="134" t="e">
        <f>#REF!/#REF!*100</f>
        <v>#REF!</v>
      </c>
      <c r="M8" s="134" t="e">
        <f>#REF!/#REF!*100</f>
        <v>#REF!</v>
      </c>
      <c r="N8" s="134" t="e">
        <f>#REF!/#REF!*100</f>
        <v>#REF!</v>
      </c>
      <c r="O8" s="134" t="e">
        <f>#REF!/#REF!*100</f>
        <v>#REF!</v>
      </c>
      <c r="P8" s="134" t="e">
        <f>#REF!/#REF!*100</f>
        <v>#REF!</v>
      </c>
      <c r="Q8" s="134" t="e">
        <f>#REF!/#REF!*100</f>
        <v>#REF!</v>
      </c>
      <c r="R8" s="134"/>
      <c r="S8" s="134"/>
    </row>
    <row r="9" spans="1:19" ht="162" customHeight="1" thickBot="1">
      <c r="A9" s="138" t="s">
        <v>20</v>
      </c>
      <c r="B9" s="134" t="s">
        <v>26</v>
      </c>
      <c r="C9" s="134" t="s">
        <v>14</v>
      </c>
      <c r="D9" s="134" t="s">
        <v>27</v>
      </c>
      <c r="E9" s="139" t="e">
        <f>#REF!/#REF!*100</f>
        <v>#REF!</v>
      </c>
      <c r="F9" s="182" t="e">
        <f>#REF!/#REF!*100</f>
        <v>#REF!</v>
      </c>
      <c r="G9" s="182" t="e">
        <f>#REF!/#REF!*100</f>
        <v>#REF!</v>
      </c>
      <c r="H9" s="182" t="e">
        <f>#REF!/#REF!*100</f>
        <v>#REF!</v>
      </c>
      <c r="I9" s="139" t="e">
        <f>#REF!/#REF!*100</f>
        <v>#REF!</v>
      </c>
      <c r="J9" s="139" t="e">
        <f>#REF!/#REF!*100</f>
        <v>#REF!</v>
      </c>
      <c r="K9" s="139" t="e">
        <f>#REF!/#REF!*100</f>
        <v>#REF!</v>
      </c>
      <c r="L9" s="139" t="e">
        <f>#REF!/#REF!*100</f>
        <v>#REF!</v>
      </c>
      <c r="M9" s="139" t="e">
        <f>#REF!/#REF!*100</f>
        <v>#REF!</v>
      </c>
      <c r="N9" s="139" t="e">
        <f>#REF!/#REF!*100</f>
        <v>#REF!</v>
      </c>
      <c r="O9" s="139" t="e">
        <f>#REF!/#REF!*100</f>
        <v>#REF!</v>
      </c>
      <c r="P9" s="139" t="e">
        <f>#REF!/#REF!*100</f>
        <v>#REF!</v>
      </c>
      <c r="Q9" s="139" t="e">
        <f>#REF!/#REF!*100</f>
        <v>#REF!</v>
      </c>
      <c r="R9" s="134"/>
      <c r="S9" s="134"/>
    </row>
    <row r="10" spans="1:19" ht="150.75" thickBot="1">
      <c r="A10" s="138" t="s">
        <v>28</v>
      </c>
      <c r="B10" s="134" t="s">
        <v>29</v>
      </c>
      <c r="C10" s="134" t="s">
        <v>14</v>
      </c>
      <c r="D10" s="134" t="s">
        <v>30</v>
      </c>
      <c r="E10" s="139" t="e">
        <f>#REF!/#REF!*100</f>
        <v>#REF!</v>
      </c>
      <c r="F10" s="139" t="e">
        <f>#REF!/#REF!*100</f>
        <v>#REF!</v>
      </c>
      <c r="G10" s="139" t="e">
        <f>#REF!/#REF!*100</f>
        <v>#REF!</v>
      </c>
      <c r="H10" s="139" t="e">
        <f>#REF!/#REF!*100</f>
        <v>#REF!</v>
      </c>
      <c r="I10" s="139" t="e">
        <f>#REF!/#REF!*100</f>
        <v>#REF!</v>
      </c>
      <c r="J10" s="139" t="e">
        <f>#REF!/#REF!*100</f>
        <v>#REF!</v>
      </c>
      <c r="K10" s="139" t="e">
        <f>#REF!/#REF!*100</f>
        <v>#REF!</v>
      </c>
      <c r="L10" s="139" t="e">
        <f>#REF!/#REF!*100</f>
        <v>#REF!</v>
      </c>
      <c r="M10" s="139" t="e">
        <f>#REF!/#REF!*100</f>
        <v>#REF!</v>
      </c>
      <c r="N10" s="139" t="e">
        <f>#REF!/#REF!*100</f>
        <v>#REF!</v>
      </c>
      <c r="O10" s="139" t="e">
        <f>#REF!/#REF!*100</f>
        <v>#REF!</v>
      </c>
      <c r="P10" s="139" t="e">
        <f>#REF!/#REF!*100</f>
        <v>#REF!</v>
      </c>
      <c r="Q10" s="139" t="e">
        <f>#REF!/#REF!*100</f>
        <v>#REF!</v>
      </c>
      <c r="R10" s="134"/>
      <c r="S10" s="134"/>
    </row>
    <row r="11" spans="1:19" ht="183" customHeight="1" thickBot="1">
      <c r="A11" s="138" t="s">
        <v>31</v>
      </c>
      <c r="B11" s="134" t="s">
        <v>32</v>
      </c>
      <c r="C11" s="134" t="s">
        <v>14</v>
      </c>
      <c r="D11" s="134" t="s">
        <v>33</v>
      </c>
      <c r="E11" s="182" t="e">
        <f>#REF!/#REF!*100</f>
        <v>#REF!</v>
      </c>
      <c r="F11" s="182" t="e">
        <f>#REF!/#REF!*100</f>
        <v>#REF!</v>
      </c>
      <c r="G11" s="182" t="e">
        <f>#REF!/#REF!*100</f>
        <v>#REF!</v>
      </c>
      <c r="H11" s="182" t="e">
        <f>#REF!/#REF!*100</f>
        <v>#REF!</v>
      </c>
      <c r="I11" s="182" t="e">
        <f>#REF!/#REF!*100</f>
        <v>#REF!</v>
      </c>
      <c r="J11" s="139" t="e">
        <f>#REF!/#REF!*100</f>
        <v>#REF!</v>
      </c>
      <c r="K11" s="139" t="e">
        <f>#REF!/#REF!*100</f>
        <v>#REF!</v>
      </c>
      <c r="L11" s="139" t="e">
        <f>#REF!/#REF!*100</f>
        <v>#REF!</v>
      </c>
      <c r="M11" s="139" t="e">
        <f>#REF!/#REF!*100</f>
        <v>#REF!</v>
      </c>
      <c r="N11" s="139" t="e">
        <f>#REF!/#REF!*100</f>
        <v>#REF!</v>
      </c>
      <c r="O11" s="139" t="e">
        <f>#REF!/#REF!*100</f>
        <v>#REF!</v>
      </c>
      <c r="P11" s="139" t="e">
        <f>#REF!/#REF!*100</f>
        <v>#REF!</v>
      </c>
      <c r="Q11" s="139" t="e">
        <f>#REF!/#REF!*100</f>
        <v>#REF!</v>
      </c>
      <c r="R11" s="134"/>
      <c r="S11" s="134"/>
    </row>
    <row r="12" spans="1:19" ht="174.75" customHeight="1" thickBot="1">
      <c r="A12" s="138" t="s">
        <v>34</v>
      </c>
      <c r="B12" s="134" t="s">
        <v>35</v>
      </c>
      <c r="C12" s="134" t="s">
        <v>14</v>
      </c>
      <c r="D12" s="134" t="s">
        <v>42</v>
      </c>
      <c r="E12" s="139" t="e">
        <f>(#REF!/#REF!)*100</f>
        <v>#REF!</v>
      </c>
      <c r="F12" s="183" t="e">
        <f>(#REF!/#REF!)*100</f>
        <v>#REF!</v>
      </c>
      <c r="G12" s="183" t="e">
        <f>(#REF!/#REF!)*100</f>
        <v>#REF!</v>
      </c>
      <c r="H12" s="183" t="e">
        <f>(#REF!/#REF!)*100</f>
        <v>#REF!</v>
      </c>
      <c r="I12" s="183" t="e">
        <f>(#REF!/#REF!)*100</f>
        <v>#REF!</v>
      </c>
      <c r="J12" s="183" t="e">
        <f>(#REF!/#REF!)*100</f>
        <v>#REF!</v>
      </c>
      <c r="K12" s="183" t="e">
        <f>(#REF!/#REF!)*100</f>
        <v>#REF!</v>
      </c>
      <c r="L12" s="183" t="e">
        <f>(#REF!/#REF!)*100</f>
        <v>#REF!</v>
      </c>
      <c r="M12" s="183" t="e">
        <f>(#REF!/#REF!)*100</f>
        <v>#REF!</v>
      </c>
      <c r="N12" s="183" t="e">
        <f>(#REF!/#REF!)*100</f>
        <v>#REF!</v>
      </c>
      <c r="O12" s="183" t="e">
        <f>(#REF!/#REF!)*100</f>
        <v>#REF!</v>
      </c>
      <c r="P12" s="183" t="e">
        <f>(#REF!/#REF!)*100</f>
        <v>#REF!</v>
      </c>
      <c r="Q12" s="183" t="e">
        <f>(#REF!/#REF!)*100</f>
        <v>#REF!</v>
      </c>
      <c r="R12" s="134"/>
      <c r="S12" s="134"/>
    </row>
    <row r="13" spans="1:19" ht="135.75" customHeight="1" thickBot="1">
      <c r="A13" s="138" t="s">
        <v>43</v>
      </c>
      <c r="B13" s="134" t="s">
        <v>44</v>
      </c>
      <c r="C13" s="134" t="s">
        <v>496</v>
      </c>
      <c r="D13" s="134" t="s">
        <v>45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 t="e">
        <f>#REF!-#REF!</f>
        <v>#REF!</v>
      </c>
      <c r="M13" s="134" t="e">
        <f>#REF!-#REF!</f>
        <v>#REF!</v>
      </c>
      <c r="N13" s="134" t="e">
        <f>#REF!-#REF!</f>
        <v>#REF!</v>
      </c>
      <c r="O13" s="134" t="e">
        <f>#REF!-#REF!</f>
        <v>#REF!</v>
      </c>
      <c r="P13" s="134" t="e">
        <f>#REF!-#REF!</f>
        <v>#REF!</v>
      </c>
      <c r="Q13" s="134" t="e">
        <f>#REF!-#REF!</f>
        <v>#REF!</v>
      </c>
      <c r="R13" s="134"/>
      <c r="S13" s="134" t="s">
        <v>46</v>
      </c>
    </row>
    <row r="14" spans="1:19" ht="171.75" customHeight="1" thickBot="1">
      <c r="A14" s="138" t="s">
        <v>47</v>
      </c>
      <c r="B14" s="134" t="s">
        <v>48</v>
      </c>
      <c r="C14" s="134" t="s">
        <v>14</v>
      </c>
      <c r="D14" s="134" t="s">
        <v>49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/>
      <c r="S14" s="140"/>
    </row>
    <row r="15" spans="1:19" ht="47.25" customHeight="1" thickBot="1">
      <c r="A15" s="516" t="s">
        <v>50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8"/>
    </row>
    <row r="16" spans="1:20" ht="105.75" customHeight="1" thickBot="1">
      <c r="A16" s="138" t="s">
        <v>51</v>
      </c>
      <c r="B16" s="134" t="s">
        <v>52</v>
      </c>
      <c r="C16" s="134" t="s">
        <v>478</v>
      </c>
      <c r="D16" s="134"/>
      <c r="E16" s="134">
        <v>0</v>
      </c>
      <c r="F16" s="141">
        <v>0</v>
      </c>
      <c r="G16" s="141">
        <v>0</v>
      </c>
      <c r="H16" s="141" t="e">
        <f>#REF!</f>
        <v>#REF!</v>
      </c>
      <c r="I16" s="141" t="e">
        <f>((#REF!/#REF!-#REF!/#REF!)/(#REF!/#REF!))*#REF!</f>
        <v>#REF!</v>
      </c>
      <c r="J16" s="141" t="e">
        <f>((#REF!/#REF!-#REF!/#REF!)/(#REF!/#REF!))*#REF!</f>
        <v>#REF!</v>
      </c>
      <c r="K16" s="141" t="e">
        <f>((#REF!/#REF!-#REF!/#REF!)/(#REF!/#REF!))*#REF!</f>
        <v>#REF!</v>
      </c>
      <c r="L16" s="141" t="e">
        <f>((#REF!/#REF!-#REF!/#REF!)/(#REF!/#REF!))*#REF!</f>
        <v>#REF!</v>
      </c>
      <c r="M16" s="141" t="e">
        <f>((#REF!/#REF!-#REF!/#REF!)/(#REF!/#REF!))*#REF!</f>
        <v>#REF!</v>
      </c>
      <c r="N16" s="141" t="e">
        <f>((#REF!/#REF!-#REF!/#REF!)/(#REF!/#REF!))*#REF!</f>
        <v>#REF!</v>
      </c>
      <c r="O16" s="141" t="e">
        <f>((#REF!/#REF!-#REF!/#REF!)/(#REF!/#REF!))*#REF!</f>
        <v>#REF!</v>
      </c>
      <c r="P16" s="141" t="e">
        <f>((#REF!/#REF!-#REF!/#REF!)/(#REF!/#REF!))*#REF!</f>
        <v>#REF!</v>
      </c>
      <c r="Q16" s="141" t="e">
        <f>((#REF!/#REF!-#REF!/#REF!)/(#REF!/#REF!))*#REF!</f>
        <v>#REF!</v>
      </c>
      <c r="R16" s="134"/>
      <c r="S16" s="134" t="s">
        <v>53</v>
      </c>
      <c r="T16" s="153" t="e">
        <f>I16+J16+K16+L16+M16+N16+O16+P16+Q16</f>
        <v>#REF!</v>
      </c>
    </row>
    <row r="17" spans="1:20" ht="81.75" customHeight="1" thickBot="1">
      <c r="A17" s="138" t="s">
        <v>54</v>
      </c>
      <c r="B17" s="134" t="s">
        <v>55</v>
      </c>
      <c r="C17" s="134" t="s">
        <v>416</v>
      </c>
      <c r="D17" s="134" t="s">
        <v>56</v>
      </c>
      <c r="E17" s="134" t="e">
        <f>E16*#REF!</f>
        <v>#REF!</v>
      </c>
      <c r="F17" s="141" t="e">
        <f>F16*#REF!</f>
        <v>#REF!</v>
      </c>
      <c r="G17" s="141" t="e">
        <f>G16*#REF!</f>
        <v>#REF!</v>
      </c>
      <c r="H17" s="141" t="e">
        <f>H16*#REF!</f>
        <v>#REF!</v>
      </c>
      <c r="I17" s="141" t="e">
        <f>I16*#REF!</f>
        <v>#REF!</v>
      </c>
      <c r="J17" s="141" t="e">
        <f>J16*#REF!</f>
        <v>#REF!</v>
      </c>
      <c r="K17" s="141" t="e">
        <f>K16*#REF!</f>
        <v>#REF!</v>
      </c>
      <c r="L17" s="141" t="e">
        <f>L16*#REF!</f>
        <v>#REF!</v>
      </c>
      <c r="M17" s="141" t="e">
        <f>M16*#REF!</f>
        <v>#REF!</v>
      </c>
      <c r="N17" s="141" t="e">
        <f>N16*#REF!</f>
        <v>#REF!</v>
      </c>
      <c r="O17" s="141" t="e">
        <f>O16*#REF!</f>
        <v>#REF!</v>
      </c>
      <c r="P17" s="141" t="e">
        <f>P16*#REF!</f>
        <v>#REF!</v>
      </c>
      <c r="Q17" s="141" t="e">
        <f>Q16*#REF!</f>
        <v>#REF!</v>
      </c>
      <c r="R17" s="134"/>
      <c r="S17" s="134" t="s">
        <v>57</v>
      </c>
      <c r="T17" s="153" t="e">
        <f aca="true" t="shared" si="0" ref="T17:T23">I17+J17+K17+L17+M17+N17+O17+P17+Q17</f>
        <v>#REF!</v>
      </c>
    </row>
    <row r="18" spans="1:20" ht="111" customHeight="1" thickBot="1">
      <c r="A18" s="138" t="s">
        <v>58</v>
      </c>
      <c r="B18" s="134" t="s">
        <v>59</v>
      </c>
      <c r="C18" s="134" t="s">
        <v>480</v>
      </c>
      <c r="D18" s="134"/>
      <c r="E18" s="134">
        <v>0</v>
      </c>
      <c r="F18" s="141">
        <v>0</v>
      </c>
      <c r="G18" s="141">
        <v>0</v>
      </c>
      <c r="H18" s="141" t="e">
        <f>#REF!</f>
        <v>#REF!</v>
      </c>
      <c r="I18" s="141" t="e">
        <f>((#REF!/#REF!-#REF!/#REF!)/(#REF!/#REF!))*#REF!</f>
        <v>#REF!</v>
      </c>
      <c r="J18" s="141" t="e">
        <f>((#REF!/#REF!-#REF!/#REF!)/(#REF!/#REF!))*#REF!</f>
        <v>#REF!</v>
      </c>
      <c r="K18" s="141" t="e">
        <f>((#REF!/#REF!-#REF!/#REF!)/(#REF!/#REF!))*#REF!</f>
        <v>#REF!</v>
      </c>
      <c r="L18" s="141" t="e">
        <f>((#REF!/#REF!-#REF!/#REF!)/(#REF!/#REF!))*#REF!</f>
        <v>#REF!</v>
      </c>
      <c r="M18" s="141" t="e">
        <f>((#REF!/#REF!-#REF!/#REF!)/(#REF!/#REF!))*#REF!</f>
        <v>#REF!</v>
      </c>
      <c r="N18" s="141" t="e">
        <f>((#REF!/#REF!-#REF!/#REF!)/(#REF!/#REF!))*#REF!</f>
        <v>#REF!</v>
      </c>
      <c r="O18" s="141" t="e">
        <f>((#REF!/#REF!-#REF!/#REF!)/(#REF!/#REF!))*#REF!</f>
        <v>#REF!</v>
      </c>
      <c r="P18" s="141" t="e">
        <f>((#REF!/#REF!-#REF!/#REF!)/(#REF!/#REF!))*#REF!</f>
        <v>#REF!</v>
      </c>
      <c r="Q18" s="141" t="e">
        <f>((#REF!/#REF!-#REF!/#REF!)/(#REF!/#REF!))*#REF!</f>
        <v>#REF!</v>
      </c>
      <c r="R18" s="134"/>
      <c r="S18" s="134" t="s">
        <v>61</v>
      </c>
      <c r="T18" s="153" t="e">
        <f t="shared" si="0"/>
        <v>#REF!</v>
      </c>
    </row>
    <row r="19" spans="1:20" ht="99" customHeight="1" thickBot="1">
      <c r="A19" s="138" t="s">
        <v>62</v>
      </c>
      <c r="B19" s="134" t="s">
        <v>63</v>
      </c>
      <c r="C19" s="134" t="s">
        <v>581</v>
      </c>
      <c r="D19" s="134" t="s">
        <v>64</v>
      </c>
      <c r="E19" s="134" t="e">
        <f>E18*#REF!</f>
        <v>#REF!</v>
      </c>
      <c r="F19" s="141" t="e">
        <f>F18*#REF!</f>
        <v>#REF!</v>
      </c>
      <c r="G19" s="141" t="e">
        <f>G18*#REF!</f>
        <v>#REF!</v>
      </c>
      <c r="H19" s="141" t="e">
        <f>H18*#REF!</f>
        <v>#REF!</v>
      </c>
      <c r="I19" s="141" t="e">
        <f>I18*#REF!</f>
        <v>#REF!</v>
      </c>
      <c r="J19" s="141" t="e">
        <f>J18*#REF!</f>
        <v>#REF!</v>
      </c>
      <c r="K19" s="141" t="e">
        <f>K18*#REF!</f>
        <v>#REF!</v>
      </c>
      <c r="L19" s="141" t="e">
        <f>L18*#REF!</f>
        <v>#REF!</v>
      </c>
      <c r="M19" s="141" t="e">
        <f>M18*#REF!</f>
        <v>#REF!</v>
      </c>
      <c r="N19" s="141" t="e">
        <f>N18*#REF!</f>
        <v>#REF!</v>
      </c>
      <c r="O19" s="141" t="e">
        <f>O18*#REF!</f>
        <v>#REF!</v>
      </c>
      <c r="P19" s="141" t="e">
        <f>P18*#REF!</f>
        <v>#REF!</v>
      </c>
      <c r="Q19" s="141" t="e">
        <f>Q18*#REF!</f>
        <v>#REF!</v>
      </c>
      <c r="R19" s="134"/>
      <c r="S19" s="134" t="s">
        <v>65</v>
      </c>
      <c r="T19" s="153" t="e">
        <f t="shared" si="0"/>
        <v>#REF!</v>
      </c>
    </row>
    <row r="20" spans="1:20" ht="105.75" thickBot="1">
      <c r="A20" s="138" t="s">
        <v>66</v>
      </c>
      <c r="B20" s="134" t="s">
        <v>67</v>
      </c>
      <c r="C20" s="134" t="s">
        <v>582</v>
      </c>
      <c r="D20" s="134"/>
      <c r="E20" s="134">
        <v>0</v>
      </c>
      <c r="F20" s="141">
        <v>0</v>
      </c>
      <c r="G20" s="141">
        <v>0</v>
      </c>
      <c r="H20" s="141" t="e">
        <f>#REF!</f>
        <v>#REF!</v>
      </c>
      <c r="I20" s="141" t="e">
        <f>((#REF!/#REF!-#REF!/#REF!)/(#REF!/#REF!))*#REF!</f>
        <v>#REF!</v>
      </c>
      <c r="J20" s="141" t="e">
        <f>((#REF!/#REF!-#REF!/#REF!)/(#REF!/#REF!))*#REF!</f>
        <v>#REF!</v>
      </c>
      <c r="K20" s="141" t="e">
        <f>((#REF!/#REF!-#REF!/#REF!)/(#REF!/#REF!))*#REF!</f>
        <v>#REF!</v>
      </c>
      <c r="L20" s="141" t="e">
        <f>((#REF!/#REF!-#REF!/#REF!)/(#REF!/#REF!))*#REF!</f>
        <v>#REF!</v>
      </c>
      <c r="M20" s="141" t="e">
        <f>((#REF!/#REF!-#REF!/#REF!)/(#REF!/#REF!))*#REF!</f>
        <v>#REF!</v>
      </c>
      <c r="N20" s="141" t="e">
        <f>((#REF!/#REF!-#REF!/#REF!)/(#REF!/#REF!))*#REF!</f>
        <v>#REF!</v>
      </c>
      <c r="O20" s="141" t="e">
        <f>((#REF!/#REF!-#REF!/#REF!)/(#REF!/#REF!))*#REF!</f>
        <v>#REF!</v>
      </c>
      <c r="P20" s="141" t="e">
        <f>((#REF!/#REF!-#REF!/#REF!)/(#REF!/#REF!))*#REF!</f>
        <v>#REF!</v>
      </c>
      <c r="Q20" s="141" t="e">
        <f>((#REF!/#REF!-#REF!/#REF!)/(#REF!/#REF!))*#REF!</f>
        <v>#REF!</v>
      </c>
      <c r="R20" s="134"/>
      <c r="S20" s="134" t="s">
        <v>75</v>
      </c>
      <c r="T20" s="153" t="e">
        <f t="shared" si="0"/>
        <v>#REF!</v>
      </c>
    </row>
    <row r="21" spans="1:20" ht="75.75" thickBot="1">
      <c r="A21" s="138" t="s">
        <v>76</v>
      </c>
      <c r="B21" s="134" t="s">
        <v>77</v>
      </c>
      <c r="C21" s="134" t="s">
        <v>416</v>
      </c>
      <c r="D21" s="134" t="s">
        <v>78</v>
      </c>
      <c r="E21" s="134" t="e">
        <f>E20*#REF!</f>
        <v>#REF!</v>
      </c>
      <c r="F21" s="141" t="e">
        <f>F20*#REF!</f>
        <v>#REF!</v>
      </c>
      <c r="G21" s="141" t="e">
        <f>G20*#REF!</f>
        <v>#REF!</v>
      </c>
      <c r="H21" s="141" t="e">
        <f>H20*#REF!</f>
        <v>#REF!</v>
      </c>
      <c r="I21" s="141" t="e">
        <f>I20*#REF!</f>
        <v>#REF!</v>
      </c>
      <c r="J21" s="141" t="e">
        <f>J20*#REF!</f>
        <v>#REF!</v>
      </c>
      <c r="K21" s="141" t="e">
        <f>K20*#REF!</f>
        <v>#REF!</v>
      </c>
      <c r="L21" s="141" t="e">
        <f>L20*#REF!</f>
        <v>#REF!</v>
      </c>
      <c r="M21" s="141" t="e">
        <f>M20*#REF!</f>
        <v>#REF!</v>
      </c>
      <c r="N21" s="141" t="e">
        <f>N20*#REF!</f>
        <v>#REF!</v>
      </c>
      <c r="O21" s="141" t="e">
        <f>O20*#REF!</f>
        <v>#REF!</v>
      </c>
      <c r="P21" s="141" t="e">
        <f>P20*#REF!</f>
        <v>#REF!</v>
      </c>
      <c r="Q21" s="141" t="e">
        <f>Q20*#REF!</f>
        <v>#REF!</v>
      </c>
      <c r="R21" s="134"/>
      <c r="S21" s="134" t="s">
        <v>79</v>
      </c>
      <c r="T21" s="153" t="e">
        <f t="shared" si="0"/>
        <v>#REF!</v>
      </c>
    </row>
    <row r="22" spans="1:20" ht="107.25" customHeight="1" thickBot="1">
      <c r="A22" s="138" t="s">
        <v>80</v>
      </c>
      <c r="B22" s="134" t="s">
        <v>81</v>
      </c>
      <c r="C22" s="134" t="s">
        <v>482</v>
      </c>
      <c r="D22" s="134"/>
      <c r="E22" s="134">
        <v>0</v>
      </c>
      <c r="F22" s="139">
        <v>0</v>
      </c>
      <c r="G22" s="139">
        <v>0</v>
      </c>
      <c r="H22" s="139" t="e">
        <f>#REF!</f>
        <v>#REF!</v>
      </c>
      <c r="I22" s="139" t="e">
        <f>((#REF!/#REF!-#REF!/#REF!)/(#REF!/#REF!))*#REF!</f>
        <v>#REF!</v>
      </c>
      <c r="J22" s="139" t="e">
        <f>((#REF!/#REF!-#REF!/#REF!)/(#REF!/#REF!))*#REF!</f>
        <v>#REF!</v>
      </c>
      <c r="K22" s="139" t="e">
        <f>((#REF!/#REF!-#REF!/#REF!)/(#REF!/#REF!))*#REF!</f>
        <v>#REF!</v>
      </c>
      <c r="L22" s="139" t="e">
        <f>((#REF!/#REF!-#REF!/#REF!)/(#REF!/#REF!))*#REF!</f>
        <v>#REF!</v>
      </c>
      <c r="M22" s="139" t="e">
        <f>((#REF!/#REF!-#REF!/#REF!)/(#REF!/#REF!))*#REF!</f>
        <v>#REF!</v>
      </c>
      <c r="N22" s="139" t="e">
        <f>((#REF!/#REF!-#REF!/#REF!)/(#REF!/#REF!))*#REF!</f>
        <v>#REF!</v>
      </c>
      <c r="O22" s="139" t="e">
        <f>((#REF!/#REF!-#REF!/#REF!)/(#REF!/#REF!))*#REF!</f>
        <v>#REF!</v>
      </c>
      <c r="P22" s="139" t="e">
        <f>((#REF!/#REF!-#REF!/#REF!)/(#REF!/#REF!))*#REF!</f>
        <v>#REF!</v>
      </c>
      <c r="Q22" s="139" t="e">
        <f>((#REF!/#REF!-#REF!/#REF!)/(#REF!/#REF!))*#REF!</f>
        <v>#REF!</v>
      </c>
      <c r="R22" s="134"/>
      <c r="S22" s="134" t="s">
        <v>82</v>
      </c>
      <c r="T22" s="153" t="e">
        <f t="shared" si="0"/>
        <v>#REF!</v>
      </c>
    </row>
    <row r="23" spans="1:20" ht="90.75" customHeight="1" thickBot="1">
      <c r="A23" s="138" t="s">
        <v>83</v>
      </c>
      <c r="B23" s="134" t="s">
        <v>84</v>
      </c>
      <c r="C23" s="134" t="s">
        <v>85</v>
      </c>
      <c r="D23" s="134" t="s">
        <v>86</v>
      </c>
      <c r="E23" s="134" t="e">
        <f>E22*#REF!</f>
        <v>#REF!</v>
      </c>
      <c r="F23" s="139" t="e">
        <f>F22*#REF!</f>
        <v>#REF!</v>
      </c>
      <c r="G23" s="139" t="e">
        <f>G22*#REF!</f>
        <v>#REF!</v>
      </c>
      <c r="H23" s="139" t="e">
        <f>H22*#REF!</f>
        <v>#REF!</v>
      </c>
      <c r="I23" s="139" t="e">
        <f>I22*#REF!</f>
        <v>#REF!</v>
      </c>
      <c r="J23" s="139" t="e">
        <f>J22*#REF!</f>
        <v>#REF!</v>
      </c>
      <c r="K23" s="139" t="e">
        <f>K22*#REF!</f>
        <v>#REF!</v>
      </c>
      <c r="L23" s="139" t="e">
        <f>L22*#REF!</f>
        <v>#REF!</v>
      </c>
      <c r="M23" s="139" t="e">
        <f>M22*#REF!</f>
        <v>#REF!</v>
      </c>
      <c r="N23" s="139" t="e">
        <f>N22*#REF!</f>
        <v>#REF!</v>
      </c>
      <c r="O23" s="139" t="e">
        <f>O22*#REF!</f>
        <v>#REF!</v>
      </c>
      <c r="P23" s="139" t="e">
        <f>P22*#REF!</f>
        <v>#REF!</v>
      </c>
      <c r="Q23" s="139" t="e">
        <f>Q22*#REF!</f>
        <v>#REF!</v>
      </c>
      <c r="R23" s="134"/>
      <c r="S23" s="134" t="s">
        <v>87</v>
      </c>
      <c r="T23" s="153" t="e">
        <f t="shared" si="0"/>
        <v>#REF!</v>
      </c>
    </row>
    <row r="24" spans="1:19" ht="40.5" customHeight="1" thickBot="1">
      <c r="A24" s="516" t="s">
        <v>88</v>
      </c>
      <c r="B24" s="517"/>
      <c r="C24" s="517"/>
      <c r="D24" s="517"/>
      <c r="E24" s="517"/>
      <c r="F24" s="517"/>
      <c r="G24" s="517"/>
      <c r="H24" s="517"/>
      <c r="I24" s="517"/>
      <c r="J24" s="517"/>
      <c r="K24" s="517"/>
      <c r="L24" s="517"/>
      <c r="M24" s="517"/>
      <c r="N24" s="517"/>
      <c r="O24" s="517"/>
      <c r="P24" s="517"/>
      <c r="Q24" s="517"/>
      <c r="R24" s="517"/>
      <c r="S24" s="518"/>
    </row>
    <row r="25" spans="1:19" ht="103.5" customHeight="1" thickBot="1">
      <c r="A25" s="138" t="s">
        <v>89</v>
      </c>
      <c r="B25" s="134" t="s">
        <v>90</v>
      </c>
      <c r="C25" s="134" t="s">
        <v>583</v>
      </c>
      <c r="D25" s="134" t="s">
        <v>92</v>
      </c>
      <c r="E25" s="142" t="e">
        <f>#REF!/#REF!</f>
        <v>#REF!</v>
      </c>
      <c r="F25" s="142" t="e">
        <f>#REF!/#REF!</f>
        <v>#REF!</v>
      </c>
      <c r="G25" s="142" t="e">
        <f>#REF!/#REF!</f>
        <v>#REF!</v>
      </c>
      <c r="H25" s="142" t="e">
        <f>#REF!/#REF!</f>
        <v>#REF!</v>
      </c>
      <c r="I25" s="142" t="e">
        <f>#REF!/#REF!</f>
        <v>#REF!</v>
      </c>
      <c r="J25" s="142" t="e">
        <f>#REF!/#REF!</f>
        <v>#REF!</v>
      </c>
      <c r="K25" s="142" t="e">
        <f>#REF!/#REF!</f>
        <v>#REF!</v>
      </c>
      <c r="L25" s="142" t="e">
        <f>#REF!/#REF!</f>
        <v>#REF!</v>
      </c>
      <c r="M25" s="142" t="e">
        <f>#REF!/#REF!</f>
        <v>#REF!</v>
      </c>
      <c r="N25" s="142" t="e">
        <f>#REF!/#REF!</f>
        <v>#REF!</v>
      </c>
      <c r="O25" s="142" t="e">
        <f>#REF!/#REF!</f>
        <v>#REF!</v>
      </c>
      <c r="P25" s="142" t="e">
        <f>#REF!/#REF!</f>
        <v>#REF!</v>
      </c>
      <c r="Q25" s="142" t="e">
        <f>#REF!/#REF!</f>
        <v>#REF!</v>
      </c>
      <c r="R25" s="134"/>
      <c r="S25" s="134"/>
    </row>
    <row r="26" spans="1:19" ht="101.25" customHeight="1" thickBot="1">
      <c r="A26" s="138" t="s">
        <v>93</v>
      </c>
      <c r="B26" s="134" t="s">
        <v>94</v>
      </c>
      <c r="C26" s="134" t="s">
        <v>583</v>
      </c>
      <c r="D26" s="134" t="s">
        <v>0</v>
      </c>
      <c r="E26" s="143" t="e">
        <f>#REF!/#REF!</f>
        <v>#REF!</v>
      </c>
      <c r="F26" s="239" t="e">
        <f>#REF!/#REF!</f>
        <v>#REF!</v>
      </c>
      <c r="G26" s="143" t="e">
        <f>#REF!/#REF!</f>
        <v>#REF!</v>
      </c>
      <c r="H26" s="142" t="e">
        <f>#REF!/#REF!</f>
        <v>#REF!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/>
      <c r="S26" s="134"/>
    </row>
    <row r="27" spans="1:19" ht="99.75" customHeight="1" thickBot="1">
      <c r="A27" s="138" t="s">
        <v>95</v>
      </c>
      <c r="B27" s="134" t="s">
        <v>96</v>
      </c>
      <c r="C27" s="134" t="s">
        <v>583</v>
      </c>
      <c r="D27" s="134" t="s">
        <v>1</v>
      </c>
      <c r="E27" s="231">
        <v>0</v>
      </c>
      <c r="F27" s="233">
        <v>0</v>
      </c>
      <c r="G27" s="134" t="e">
        <f aca="true" t="shared" si="1" ref="G27:Q27">G25-$G$25</f>
        <v>#REF!</v>
      </c>
      <c r="H27" s="142" t="e">
        <f t="shared" si="1"/>
        <v>#REF!</v>
      </c>
      <c r="I27" s="142" t="e">
        <f t="shared" si="1"/>
        <v>#REF!</v>
      </c>
      <c r="J27" s="142" t="e">
        <f t="shared" si="1"/>
        <v>#REF!</v>
      </c>
      <c r="K27" s="142" t="e">
        <f t="shared" si="1"/>
        <v>#REF!</v>
      </c>
      <c r="L27" s="142" t="e">
        <f t="shared" si="1"/>
        <v>#REF!</v>
      </c>
      <c r="M27" s="142" t="e">
        <f t="shared" si="1"/>
        <v>#REF!</v>
      </c>
      <c r="N27" s="142" t="e">
        <f t="shared" si="1"/>
        <v>#REF!</v>
      </c>
      <c r="O27" s="142" t="e">
        <f t="shared" si="1"/>
        <v>#REF!</v>
      </c>
      <c r="P27" s="142" t="e">
        <f t="shared" si="1"/>
        <v>#REF!</v>
      </c>
      <c r="Q27" s="142" t="e">
        <f t="shared" si="1"/>
        <v>#REF!</v>
      </c>
      <c r="R27" s="134"/>
      <c r="S27" s="134" t="s">
        <v>97</v>
      </c>
    </row>
    <row r="28" spans="1:19" ht="99" customHeight="1" thickBot="1">
      <c r="A28" s="138" t="s">
        <v>98</v>
      </c>
      <c r="B28" s="134" t="s">
        <v>99</v>
      </c>
      <c r="C28" s="134" t="s">
        <v>583</v>
      </c>
      <c r="D28" s="134" t="s">
        <v>2</v>
      </c>
      <c r="E28" s="234">
        <v>0</v>
      </c>
      <c r="F28" s="241">
        <v>0</v>
      </c>
      <c r="G28" s="143" t="e">
        <f aca="true" t="shared" si="2" ref="G28:Q28">G26-$G$26</f>
        <v>#REF!</v>
      </c>
      <c r="H28" s="143" t="e">
        <f t="shared" si="2"/>
        <v>#REF!</v>
      </c>
      <c r="I28" s="143" t="e">
        <f t="shared" si="2"/>
        <v>#REF!</v>
      </c>
      <c r="J28" s="143" t="e">
        <f t="shared" si="2"/>
        <v>#REF!</v>
      </c>
      <c r="K28" s="143" t="e">
        <f t="shared" si="2"/>
        <v>#REF!</v>
      </c>
      <c r="L28" s="143" t="e">
        <f t="shared" si="2"/>
        <v>#REF!</v>
      </c>
      <c r="M28" s="143" t="e">
        <f t="shared" si="2"/>
        <v>#REF!</v>
      </c>
      <c r="N28" s="143" t="e">
        <f t="shared" si="2"/>
        <v>#REF!</v>
      </c>
      <c r="O28" s="143" t="e">
        <f t="shared" si="2"/>
        <v>#REF!</v>
      </c>
      <c r="P28" s="143" t="e">
        <f t="shared" si="2"/>
        <v>#REF!</v>
      </c>
      <c r="Q28" s="143" t="e">
        <f t="shared" si="2"/>
        <v>#REF!</v>
      </c>
      <c r="R28" s="134"/>
      <c r="S28" s="134" t="s">
        <v>97</v>
      </c>
    </row>
    <row r="29" spans="1:19" ht="165" customHeight="1" thickBot="1">
      <c r="A29" s="138" t="s">
        <v>100</v>
      </c>
      <c r="B29" s="134" t="s">
        <v>101</v>
      </c>
      <c r="C29" s="134"/>
      <c r="D29" s="134" t="s">
        <v>3</v>
      </c>
      <c r="E29" s="235">
        <v>0</v>
      </c>
      <c r="F29" s="198">
        <v>0</v>
      </c>
      <c r="G29" s="144" t="e">
        <f aca="true" t="shared" si="3" ref="G29:Q29">(G26/G25)-($G$26/$G$25)</f>
        <v>#REF!</v>
      </c>
      <c r="H29" s="144" t="e">
        <f t="shared" si="3"/>
        <v>#REF!</v>
      </c>
      <c r="I29" s="144" t="e">
        <f t="shared" si="3"/>
        <v>#REF!</v>
      </c>
      <c r="J29" s="194" t="e">
        <f t="shared" si="3"/>
        <v>#REF!</v>
      </c>
      <c r="K29" s="144" t="e">
        <f t="shared" si="3"/>
        <v>#REF!</v>
      </c>
      <c r="L29" s="144" t="e">
        <f t="shared" si="3"/>
        <v>#REF!</v>
      </c>
      <c r="M29" s="144" t="e">
        <f t="shared" si="3"/>
        <v>#REF!</v>
      </c>
      <c r="N29" s="144" t="e">
        <f t="shared" si="3"/>
        <v>#REF!</v>
      </c>
      <c r="O29" s="144" t="e">
        <f t="shared" si="3"/>
        <v>#REF!</v>
      </c>
      <c r="P29" s="144" t="e">
        <f t="shared" si="3"/>
        <v>#REF!</v>
      </c>
      <c r="Q29" s="144" t="e">
        <f t="shared" si="3"/>
        <v>#REF!</v>
      </c>
      <c r="R29" s="144"/>
      <c r="S29" s="144"/>
    </row>
    <row r="30" spans="1:19" ht="91.5" customHeight="1" thickBot="1">
      <c r="A30" s="138" t="s">
        <v>103</v>
      </c>
      <c r="B30" s="144" t="s">
        <v>104</v>
      </c>
      <c r="C30" s="148" t="s">
        <v>105</v>
      </c>
      <c r="D30" s="148" t="s">
        <v>106</v>
      </c>
      <c r="E30" s="183" t="e">
        <f>#REF!/#REF!</f>
        <v>#REF!</v>
      </c>
      <c r="F30" s="183" t="e">
        <f>#REF!/#REF!</f>
        <v>#REF!</v>
      </c>
      <c r="G30" s="183" t="e">
        <f>#REF!/#REF!</f>
        <v>#REF!</v>
      </c>
      <c r="H30" s="183" t="e">
        <f>#REF!/#REF!</f>
        <v>#REF!</v>
      </c>
      <c r="I30" s="183" t="e">
        <f>#REF!/#REF!</f>
        <v>#REF!</v>
      </c>
      <c r="J30" s="142" t="e">
        <f>#REF!/#REF!</f>
        <v>#REF!</v>
      </c>
      <c r="K30" s="142" t="e">
        <f>#REF!/#REF!</f>
        <v>#REF!</v>
      </c>
      <c r="L30" s="142" t="e">
        <f>#REF!/#REF!</f>
        <v>#REF!</v>
      </c>
      <c r="M30" s="142" t="e">
        <f>#REF!/#REF!</f>
        <v>#REF!</v>
      </c>
      <c r="N30" s="142" t="e">
        <f>#REF!/#REF!</f>
        <v>#REF!</v>
      </c>
      <c r="O30" s="142" t="e">
        <f>#REF!/#REF!</f>
        <v>#REF!</v>
      </c>
      <c r="P30" s="142" t="e">
        <f>#REF!/#REF!</f>
        <v>#REF!</v>
      </c>
      <c r="Q30" s="142" t="e">
        <f>#REF!/#REF!</f>
        <v>#REF!</v>
      </c>
      <c r="R30" s="134"/>
      <c r="S30" s="134"/>
    </row>
    <row r="31" spans="1:19" ht="95.25" customHeight="1" thickBot="1">
      <c r="A31" s="138" t="s">
        <v>107</v>
      </c>
      <c r="B31" s="144" t="s">
        <v>108</v>
      </c>
      <c r="C31" s="148" t="s">
        <v>105</v>
      </c>
      <c r="D31" s="148" t="s">
        <v>109</v>
      </c>
      <c r="E31" s="149" t="e">
        <f>#REF!/#REF!</f>
        <v>#REF!</v>
      </c>
      <c r="F31" s="149" t="e">
        <f>#REF!/#REF!</f>
        <v>#REF!</v>
      </c>
      <c r="G31" s="149" t="e">
        <f>#REF!/#REF!</f>
        <v>#REF!</v>
      </c>
      <c r="H31" s="149" t="e">
        <f>#REF!/#REF!</f>
        <v>#REF!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  <c r="R31" s="134"/>
      <c r="S31" s="134"/>
    </row>
    <row r="32" spans="1:19" ht="105" customHeight="1" thickBot="1">
      <c r="A32" s="138" t="s">
        <v>110</v>
      </c>
      <c r="B32" s="134" t="s">
        <v>111</v>
      </c>
      <c r="C32" s="134" t="s">
        <v>105</v>
      </c>
      <c r="D32" s="134" t="s">
        <v>112</v>
      </c>
      <c r="E32" s="142">
        <v>0</v>
      </c>
      <c r="F32" s="142">
        <v>0</v>
      </c>
      <c r="G32" s="142" t="e">
        <f aca="true" t="shared" si="4" ref="G32:Q32">G30-$G$30</f>
        <v>#REF!</v>
      </c>
      <c r="H32" s="142" t="e">
        <f t="shared" si="4"/>
        <v>#REF!</v>
      </c>
      <c r="I32" s="143" t="e">
        <f t="shared" si="4"/>
        <v>#REF!</v>
      </c>
      <c r="J32" s="142" t="e">
        <f t="shared" si="4"/>
        <v>#REF!</v>
      </c>
      <c r="K32" s="142" t="e">
        <f t="shared" si="4"/>
        <v>#REF!</v>
      </c>
      <c r="L32" s="142" t="e">
        <f t="shared" si="4"/>
        <v>#REF!</v>
      </c>
      <c r="M32" s="142" t="e">
        <f t="shared" si="4"/>
        <v>#REF!</v>
      </c>
      <c r="N32" s="142" t="e">
        <f t="shared" si="4"/>
        <v>#REF!</v>
      </c>
      <c r="O32" s="142" t="e">
        <f t="shared" si="4"/>
        <v>#REF!</v>
      </c>
      <c r="P32" s="142" t="e">
        <f t="shared" si="4"/>
        <v>#REF!</v>
      </c>
      <c r="Q32" s="142" t="e">
        <f t="shared" si="4"/>
        <v>#REF!</v>
      </c>
      <c r="R32" s="134"/>
      <c r="S32" s="134" t="s">
        <v>97</v>
      </c>
    </row>
    <row r="33" spans="1:19" ht="101.25" customHeight="1" thickBot="1">
      <c r="A33" s="138" t="s">
        <v>113</v>
      </c>
      <c r="B33" s="134" t="s">
        <v>114</v>
      </c>
      <c r="C33" s="134" t="s">
        <v>105</v>
      </c>
      <c r="D33" s="134" t="s">
        <v>115</v>
      </c>
      <c r="E33" s="134">
        <v>0</v>
      </c>
      <c r="F33" s="134">
        <v>0</v>
      </c>
      <c r="G33" s="134" t="e">
        <f>G31-$G$31</f>
        <v>#REF!</v>
      </c>
      <c r="H33" s="134" t="e">
        <f aca="true" t="shared" si="5" ref="H33:Q33">H31-$G$31</f>
        <v>#REF!</v>
      </c>
      <c r="I33" s="142" t="e">
        <f t="shared" si="5"/>
        <v>#REF!</v>
      </c>
      <c r="J33" s="142" t="e">
        <f t="shared" si="5"/>
        <v>#REF!</v>
      </c>
      <c r="K33" s="142" t="e">
        <f t="shared" si="5"/>
        <v>#REF!</v>
      </c>
      <c r="L33" s="142" t="e">
        <f t="shared" si="5"/>
        <v>#REF!</v>
      </c>
      <c r="M33" s="142" t="e">
        <f t="shared" si="5"/>
        <v>#REF!</v>
      </c>
      <c r="N33" s="142" t="e">
        <f t="shared" si="5"/>
        <v>#REF!</v>
      </c>
      <c r="O33" s="142" t="e">
        <f t="shared" si="5"/>
        <v>#REF!</v>
      </c>
      <c r="P33" s="142" t="e">
        <f t="shared" si="5"/>
        <v>#REF!</v>
      </c>
      <c r="Q33" s="142" t="e">
        <f t="shared" si="5"/>
        <v>#REF!</v>
      </c>
      <c r="R33" s="134"/>
      <c r="S33" s="134" t="s">
        <v>97</v>
      </c>
    </row>
    <row r="34" spans="1:19" ht="189.75" customHeight="1" thickBot="1">
      <c r="A34" s="138" t="s">
        <v>116</v>
      </c>
      <c r="B34" s="134" t="s">
        <v>117</v>
      </c>
      <c r="C34" s="134" t="s">
        <v>102</v>
      </c>
      <c r="D34" s="134" t="s">
        <v>118</v>
      </c>
      <c r="E34" s="142">
        <v>0</v>
      </c>
      <c r="F34" s="142">
        <v>0</v>
      </c>
      <c r="G34" s="142" t="e">
        <f aca="true" t="shared" si="6" ref="G34:Q34">G31/G30-$G$31/$G$30</f>
        <v>#REF!</v>
      </c>
      <c r="H34" s="142" t="e">
        <f t="shared" si="6"/>
        <v>#REF!</v>
      </c>
      <c r="I34" s="142" t="e">
        <f t="shared" si="6"/>
        <v>#REF!</v>
      </c>
      <c r="J34" s="142" t="e">
        <f t="shared" si="6"/>
        <v>#REF!</v>
      </c>
      <c r="K34" s="142" t="e">
        <f t="shared" si="6"/>
        <v>#REF!</v>
      </c>
      <c r="L34" s="142" t="e">
        <f t="shared" si="6"/>
        <v>#REF!</v>
      </c>
      <c r="M34" s="142" t="e">
        <f t="shared" si="6"/>
        <v>#REF!</v>
      </c>
      <c r="N34" s="142" t="e">
        <f t="shared" si="6"/>
        <v>#REF!</v>
      </c>
      <c r="O34" s="142" t="e">
        <f t="shared" si="6"/>
        <v>#REF!</v>
      </c>
      <c r="P34" s="142" t="e">
        <f t="shared" si="6"/>
        <v>#REF!</v>
      </c>
      <c r="Q34" s="142" t="e">
        <f t="shared" si="6"/>
        <v>#REF!</v>
      </c>
      <c r="R34" s="134"/>
      <c r="S34" s="134"/>
    </row>
    <row r="35" spans="1:19" ht="101.25" customHeight="1" thickBot="1">
      <c r="A35" s="145" t="s">
        <v>119</v>
      </c>
      <c r="B35" s="134" t="s">
        <v>120</v>
      </c>
      <c r="C35" s="134" t="s">
        <v>121</v>
      </c>
      <c r="D35" s="134" t="s">
        <v>100</v>
      </c>
      <c r="E35" s="141" t="e">
        <f>#REF!/#REF!</f>
        <v>#REF!</v>
      </c>
      <c r="F35" s="141" t="e">
        <f>#REF!/#REF!</f>
        <v>#REF!</v>
      </c>
      <c r="G35" s="141" t="e">
        <f>#REF!/#REF!</f>
        <v>#REF!</v>
      </c>
      <c r="H35" s="141" t="e">
        <f>#REF!/#REF!</f>
        <v>#REF!</v>
      </c>
      <c r="I35" s="141" t="e">
        <f>#REF!/#REF!</f>
        <v>#REF!</v>
      </c>
      <c r="J35" s="141" t="e">
        <f>#REF!/#REF!</f>
        <v>#REF!</v>
      </c>
      <c r="K35" s="141" t="e">
        <f>#REF!/#REF!</f>
        <v>#REF!</v>
      </c>
      <c r="L35" s="141" t="e">
        <f>#REF!/#REF!</f>
        <v>#REF!</v>
      </c>
      <c r="M35" s="141" t="e">
        <f>#REF!/#REF!</f>
        <v>#REF!</v>
      </c>
      <c r="N35" s="141" t="e">
        <f>#REF!/#REF!</f>
        <v>#REF!</v>
      </c>
      <c r="O35" s="141" t="e">
        <f>#REF!/#REF!</f>
        <v>#REF!</v>
      </c>
      <c r="P35" s="141" t="e">
        <f>#REF!/#REF!</f>
        <v>#REF!</v>
      </c>
      <c r="Q35" s="141" t="e">
        <f>#REF!/#REF!</f>
        <v>#REF!</v>
      </c>
      <c r="R35" s="134"/>
      <c r="S35" s="134"/>
    </row>
    <row r="36" spans="1:19" ht="99" customHeight="1" thickBot="1">
      <c r="A36" s="138" t="s">
        <v>122</v>
      </c>
      <c r="B36" s="134" t="s">
        <v>123</v>
      </c>
      <c r="C36" s="134" t="s">
        <v>121</v>
      </c>
      <c r="D36" s="134" t="s">
        <v>103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/>
      <c r="S36" s="134"/>
    </row>
    <row r="37" spans="1:19" ht="94.5" customHeight="1" thickBot="1">
      <c r="A37" s="138" t="s">
        <v>124</v>
      </c>
      <c r="B37" s="134" t="s">
        <v>125</v>
      </c>
      <c r="C37" s="134" t="s">
        <v>121</v>
      </c>
      <c r="D37" s="134" t="s">
        <v>126</v>
      </c>
      <c r="E37" s="134">
        <v>0</v>
      </c>
      <c r="F37" s="134">
        <v>0</v>
      </c>
      <c r="G37" s="134" t="e">
        <f aca="true" t="shared" si="7" ref="G37:Q37">G35-$G$35</f>
        <v>#REF!</v>
      </c>
      <c r="H37" s="141" t="e">
        <f t="shared" si="7"/>
        <v>#REF!</v>
      </c>
      <c r="I37" s="141" t="e">
        <f t="shared" si="7"/>
        <v>#REF!</v>
      </c>
      <c r="J37" s="141" t="e">
        <f t="shared" si="7"/>
        <v>#REF!</v>
      </c>
      <c r="K37" s="141" t="e">
        <f t="shared" si="7"/>
        <v>#REF!</v>
      </c>
      <c r="L37" s="141" t="e">
        <f t="shared" si="7"/>
        <v>#REF!</v>
      </c>
      <c r="M37" s="141" t="e">
        <f t="shared" si="7"/>
        <v>#REF!</v>
      </c>
      <c r="N37" s="141" t="e">
        <f t="shared" si="7"/>
        <v>#REF!</v>
      </c>
      <c r="O37" s="141" t="e">
        <f t="shared" si="7"/>
        <v>#REF!</v>
      </c>
      <c r="P37" s="141" t="e">
        <f t="shared" si="7"/>
        <v>#REF!</v>
      </c>
      <c r="Q37" s="141" t="e">
        <f t="shared" si="7"/>
        <v>#REF!</v>
      </c>
      <c r="R37" s="134"/>
      <c r="S37" s="134" t="s">
        <v>97</v>
      </c>
    </row>
    <row r="38" spans="1:19" ht="97.5" customHeight="1" thickBot="1">
      <c r="A38" s="138" t="s">
        <v>127</v>
      </c>
      <c r="B38" s="134" t="s">
        <v>128</v>
      </c>
      <c r="C38" s="134" t="s">
        <v>121</v>
      </c>
      <c r="D38" s="134" t="s">
        <v>129</v>
      </c>
      <c r="E38" s="134">
        <f>E36-$G$36</f>
        <v>0</v>
      </c>
      <c r="F38" s="134">
        <f aca="true" t="shared" si="8" ref="F38:Q38">F36-$G$36</f>
        <v>0</v>
      </c>
      <c r="G38" s="134">
        <f t="shared" si="8"/>
        <v>0</v>
      </c>
      <c r="H38" s="134">
        <f t="shared" si="8"/>
        <v>0</v>
      </c>
      <c r="I38" s="134">
        <f t="shared" si="8"/>
        <v>0</v>
      </c>
      <c r="J38" s="134">
        <f t="shared" si="8"/>
        <v>0</v>
      </c>
      <c r="K38" s="134">
        <f t="shared" si="8"/>
        <v>0</v>
      </c>
      <c r="L38" s="134">
        <f t="shared" si="8"/>
        <v>0</v>
      </c>
      <c r="M38" s="134">
        <f t="shared" si="8"/>
        <v>0</v>
      </c>
      <c r="N38" s="134">
        <f t="shared" si="8"/>
        <v>0</v>
      </c>
      <c r="O38" s="134">
        <f t="shared" si="8"/>
        <v>0</v>
      </c>
      <c r="P38" s="134">
        <f t="shared" si="8"/>
        <v>0</v>
      </c>
      <c r="Q38" s="134">
        <f t="shared" si="8"/>
        <v>0</v>
      </c>
      <c r="R38" s="134"/>
      <c r="S38" s="134" t="s">
        <v>97</v>
      </c>
    </row>
    <row r="39" spans="1:19" ht="186" customHeight="1" thickBot="1">
      <c r="A39" s="138" t="s">
        <v>130</v>
      </c>
      <c r="B39" s="134" t="s">
        <v>131</v>
      </c>
      <c r="C39" s="134" t="s">
        <v>102</v>
      </c>
      <c r="D39" s="134" t="s">
        <v>132</v>
      </c>
      <c r="E39" s="139" t="e">
        <f>E36/E35-$G$36/$G$35</f>
        <v>#REF!</v>
      </c>
      <c r="F39" s="139" t="e">
        <f aca="true" t="shared" si="9" ref="F39:Q39">F36/F35-$G$36/$G$35</f>
        <v>#REF!</v>
      </c>
      <c r="G39" s="139" t="e">
        <f t="shared" si="9"/>
        <v>#REF!</v>
      </c>
      <c r="H39" s="139" t="e">
        <f t="shared" si="9"/>
        <v>#REF!</v>
      </c>
      <c r="I39" s="139" t="e">
        <f t="shared" si="9"/>
        <v>#REF!</v>
      </c>
      <c r="J39" s="139" t="e">
        <f t="shared" si="9"/>
        <v>#REF!</v>
      </c>
      <c r="K39" s="139" t="e">
        <f t="shared" si="9"/>
        <v>#REF!</v>
      </c>
      <c r="L39" s="139" t="e">
        <f t="shared" si="9"/>
        <v>#REF!</v>
      </c>
      <c r="M39" s="139" t="e">
        <f t="shared" si="9"/>
        <v>#REF!</v>
      </c>
      <c r="N39" s="139" t="e">
        <f t="shared" si="9"/>
        <v>#REF!</v>
      </c>
      <c r="O39" s="139" t="e">
        <f t="shared" si="9"/>
        <v>#REF!</v>
      </c>
      <c r="P39" s="139" t="e">
        <f t="shared" si="9"/>
        <v>#REF!</v>
      </c>
      <c r="Q39" s="139" t="e">
        <f t="shared" si="9"/>
        <v>#REF!</v>
      </c>
      <c r="R39" s="134"/>
      <c r="S39" s="134"/>
    </row>
    <row r="40" spans="1:19" ht="128.25" customHeight="1" thickBot="1">
      <c r="A40" s="138" t="s">
        <v>133</v>
      </c>
      <c r="B40" s="134" t="s">
        <v>134</v>
      </c>
      <c r="C40" s="134" t="s">
        <v>14</v>
      </c>
      <c r="D40" s="146" t="s">
        <v>135</v>
      </c>
      <c r="E40" s="141" t="e">
        <f>#REF!/(#REF!+#REF!)*100</f>
        <v>#REF!</v>
      </c>
      <c r="F40" s="141" t="e">
        <f>#REF!/(#REF!+#REF!)*100</f>
        <v>#REF!</v>
      </c>
      <c r="G40" s="141" t="e">
        <f>#REF!/(#REF!+#REF!)*100</f>
        <v>#REF!</v>
      </c>
      <c r="H40" s="141" t="e">
        <f>#REF!/(#REF!+#REF!)*100</f>
        <v>#REF!</v>
      </c>
      <c r="I40" s="141" t="e">
        <f>#REF!/(#REF!+#REF!)*100</f>
        <v>#REF!</v>
      </c>
      <c r="J40" s="141" t="e">
        <f>#REF!/(#REF!+#REF!)*100</f>
        <v>#REF!</v>
      </c>
      <c r="K40" s="141" t="e">
        <f>#REF!/(#REF!+#REF!)*100</f>
        <v>#REF!</v>
      </c>
      <c r="L40" s="141" t="e">
        <f>#REF!/(#REF!+#REF!)*100</f>
        <v>#REF!</v>
      </c>
      <c r="M40" s="141" t="e">
        <f>#REF!/(#REF!+#REF!)*100</f>
        <v>#REF!</v>
      </c>
      <c r="N40" s="141" t="e">
        <f>#REF!/(#REF!+#REF!)*100</f>
        <v>#REF!</v>
      </c>
      <c r="O40" s="141" t="e">
        <f>#REF!/(#REF!+#REF!)*100</f>
        <v>#REF!</v>
      </c>
      <c r="P40" s="141" t="e">
        <f>#REF!/(#REF!+#REF!)*100</f>
        <v>#REF!</v>
      </c>
      <c r="Q40" s="141" t="e">
        <f>#REF!/(#REF!+#REF!)*100</f>
        <v>#REF!</v>
      </c>
      <c r="R40" s="134"/>
      <c r="S40" s="134"/>
    </row>
    <row r="41" spans="1:19" ht="135" customHeight="1" thickBot="1">
      <c r="A41" s="138" t="s">
        <v>136</v>
      </c>
      <c r="B41" s="134" t="s">
        <v>137</v>
      </c>
      <c r="C41" s="134" t="s">
        <v>14</v>
      </c>
      <c r="D41" s="144" t="s">
        <v>138</v>
      </c>
      <c r="E41" s="141" t="e">
        <f>#REF!/(#REF!+#REF!)*100</f>
        <v>#REF!</v>
      </c>
      <c r="F41" s="141" t="e">
        <f>#REF!/(#REF!+#REF!)*100</f>
        <v>#REF!</v>
      </c>
      <c r="G41" s="141" t="e">
        <f>#REF!/(#REF!+#REF!)*100</f>
        <v>#REF!</v>
      </c>
      <c r="H41" s="141" t="e">
        <f>#REF!/(#REF!+#REF!)*100</f>
        <v>#REF!</v>
      </c>
      <c r="I41" s="141" t="e">
        <f>#REF!/(#REF!+#REF!)*100</f>
        <v>#REF!</v>
      </c>
      <c r="J41" s="141" t="e">
        <f>#REF!/(#REF!+#REF!)*100</f>
        <v>#REF!</v>
      </c>
      <c r="K41" s="141" t="e">
        <f>#REF!/(#REF!+#REF!)*100</f>
        <v>#REF!</v>
      </c>
      <c r="L41" s="141" t="e">
        <f>#REF!/(#REF!+#REF!)*100</f>
        <v>#REF!</v>
      </c>
      <c r="M41" s="141" t="e">
        <f>#REF!/(#REF!+#REF!)*100</f>
        <v>#REF!</v>
      </c>
      <c r="N41" s="141" t="e">
        <f>#REF!/(#REF!+#REF!)*100</f>
        <v>#REF!</v>
      </c>
      <c r="O41" s="141" t="e">
        <f>#REF!/(#REF!+#REF!)*100</f>
        <v>#REF!</v>
      </c>
      <c r="P41" s="141" t="e">
        <f>#REF!/(#REF!+#REF!)*100</f>
        <v>#REF!</v>
      </c>
      <c r="Q41" s="141" t="e">
        <f>#REF!/(#REF!+#REF!)*100</f>
        <v>#REF!</v>
      </c>
      <c r="R41" s="134"/>
      <c r="S41" s="134"/>
    </row>
    <row r="42" spans="1:19" ht="123.75" customHeight="1" thickBot="1">
      <c r="A42" s="138" t="s">
        <v>139</v>
      </c>
      <c r="B42" s="134" t="s">
        <v>140</v>
      </c>
      <c r="C42" s="134" t="s">
        <v>14</v>
      </c>
      <c r="D42" s="134" t="s">
        <v>141</v>
      </c>
      <c r="E42" s="142" t="e">
        <f>#REF!/(#REF!+#REF!)*100</f>
        <v>#REF!</v>
      </c>
      <c r="F42" s="142" t="e">
        <f>#REF!/(#REF!+#REF!)*100</f>
        <v>#REF!</v>
      </c>
      <c r="G42" s="142" t="e">
        <f>#REF!/(#REF!+#REF!)*100</f>
        <v>#REF!</v>
      </c>
      <c r="H42" s="142" t="e">
        <f>#REF!/(#REF!+#REF!)*100</f>
        <v>#REF!</v>
      </c>
      <c r="I42" s="141" t="e">
        <f>#REF!/(#REF!+#REF!)*100</f>
        <v>#REF!</v>
      </c>
      <c r="J42" s="141" t="e">
        <f>#REF!/(#REF!+#REF!)*100</f>
        <v>#REF!</v>
      </c>
      <c r="K42" s="141" t="e">
        <f>#REF!/(#REF!+#REF!)*100</f>
        <v>#REF!</v>
      </c>
      <c r="L42" s="141" t="e">
        <f>#REF!/(#REF!+#REF!)*100</f>
        <v>#REF!</v>
      </c>
      <c r="M42" s="141" t="e">
        <f>#REF!/(#REF!+#REF!)*100</f>
        <v>#REF!</v>
      </c>
      <c r="N42" s="141" t="e">
        <f>#REF!/(#REF!+#REF!)*100</f>
        <v>#REF!</v>
      </c>
      <c r="O42" s="141" t="e">
        <f>#REF!/(#REF!+#REF!)*100</f>
        <v>#REF!</v>
      </c>
      <c r="P42" s="141" t="e">
        <f>#REF!/(#REF!+#REF!)*100</f>
        <v>#REF!</v>
      </c>
      <c r="Q42" s="141" t="e">
        <f>#REF!/(#REF!+#REF!)*100</f>
        <v>#REF!</v>
      </c>
      <c r="R42" s="134"/>
      <c r="S42" s="134"/>
    </row>
    <row r="43" spans="1:19" ht="150.75" customHeight="1" thickBot="1">
      <c r="A43" s="138" t="s">
        <v>142</v>
      </c>
      <c r="B43" s="134" t="s">
        <v>143</v>
      </c>
      <c r="C43" s="134" t="s">
        <v>14</v>
      </c>
      <c r="D43" s="134" t="s">
        <v>144</v>
      </c>
      <c r="E43" s="141" t="e">
        <f>(#REF!/#REF!)*100</f>
        <v>#REF!</v>
      </c>
      <c r="F43" s="141" t="e">
        <f>(#REF!/#REF!)*100</f>
        <v>#REF!</v>
      </c>
      <c r="G43" s="141" t="e">
        <f>(#REF!/#REF!)*100</f>
        <v>#REF!</v>
      </c>
      <c r="H43" s="141" t="e">
        <f>(#REF!/#REF!)*100</f>
        <v>#REF!</v>
      </c>
      <c r="I43" s="141" t="e">
        <f>(#REF!/#REF!)*100</f>
        <v>#REF!</v>
      </c>
      <c r="J43" s="141" t="e">
        <f>(#REF!/#REF!)*100</f>
        <v>#REF!</v>
      </c>
      <c r="K43" s="141" t="e">
        <f>(#REF!/#REF!)*100</f>
        <v>#REF!</v>
      </c>
      <c r="L43" s="141" t="e">
        <f>(#REF!/#REF!)*100</f>
        <v>#REF!</v>
      </c>
      <c r="M43" s="141" t="e">
        <f>(#REF!/#REF!)*100</f>
        <v>#REF!</v>
      </c>
      <c r="N43" s="141" t="e">
        <f>(#REF!/#REF!)*100</f>
        <v>#REF!</v>
      </c>
      <c r="O43" s="141" t="e">
        <f>(#REF!/#REF!)*100</f>
        <v>#REF!</v>
      </c>
      <c r="P43" s="141" t="e">
        <f>(#REF!/#REF!)*100</f>
        <v>#REF!</v>
      </c>
      <c r="Q43" s="141" t="e">
        <f>(#REF!/#REF!)*100</f>
        <v>#REF!</v>
      </c>
      <c r="R43" s="134"/>
      <c r="S43" s="134"/>
    </row>
    <row r="44" spans="1:19" ht="67.5" customHeight="1" thickBot="1">
      <c r="A44" s="138" t="s">
        <v>145</v>
      </c>
      <c r="B44" s="134" t="s">
        <v>146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</row>
    <row r="45" spans="1:19" ht="81.75" customHeight="1" thickBot="1">
      <c r="A45" s="138" t="s">
        <v>147</v>
      </c>
      <c r="B45" s="134" t="s">
        <v>148</v>
      </c>
      <c r="C45" s="134" t="s">
        <v>14</v>
      </c>
      <c r="D45" s="134" t="s">
        <v>149</v>
      </c>
      <c r="E45" s="143" t="e">
        <f>#REF!/#REF!</f>
        <v>#REF!</v>
      </c>
      <c r="F45" s="143" t="e">
        <f>#REF!/#REF!</f>
        <v>#REF!</v>
      </c>
      <c r="G45" s="195" t="e">
        <f>#REF!/#REF!</f>
        <v>#REF!</v>
      </c>
      <c r="H45" s="195" t="e">
        <f>#REF!/#REF!</f>
        <v>#REF!</v>
      </c>
      <c r="I45" s="195" t="e">
        <f>#REF!/#REF!</f>
        <v>#REF!</v>
      </c>
      <c r="J45" s="195" t="e">
        <f>#REF!/#REF!</f>
        <v>#REF!</v>
      </c>
      <c r="K45" s="195" t="e">
        <f>#REF!/#REF!</f>
        <v>#REF!</v>
      </c>
      <c r="L45" s="195" t="e">
        <f>#REF!/#REF!</f>
        <v>#REF!</v>
      </c>
      <c r="M45" s="195" t="e">
        <f>#REF!/#REF!</f>
        <v>#REF!</v>
      </c>
      <c r="N45" s="195" t="e">
        <f>#REF!/#REF!</f>
        <v>#REF!</v>
      </c>
      <c r="O45" s="195" t="e">
        <f>#REF!/#REF!</f>
        <v>#REF!</v>
      </c>
      <c r="P45" s="195" t="e">
        <f>#REF!/#REF!</f>
        <v>#REF!</v>
      </c>
      <c r="Q45" s="195" t="e">
        <f>#REF!/#REF!</f>
        <v>#REF!</v>
      </c>
      <c r="R45" s="134"/>
      <c r="S45" s="134" t="s">
        <v>150</v>
      </c>
    </row>
    <row r="46" spans="1:19" ht="37.5" customHeight="1" thickBot="1">
      <c r="A46" s="145" t="s">
        <v>151</v>
      </c>
      <c r="B46" s="134" t="s">
        <v>152</v>
      </c>
      <c r="C46" s="134" t="s">
        <v>14</v>
      </c>
      <c r="D46" s="134" t="s">
        <v>153</v>
      </c>
      <c r="E46" s="143" t="e">
        <f>#REF!/#REF!</f>
        <v>#REF!</v>
      </c>
      <c r="F46" s="143" t="e">
        <f>#REF!/#REF!</f>
        <v>#REF!</v>
      </c>
      <c r="G46" s="143" t="e">
        <f>#REF!/#REF!</f>
        <v>#REF!</v>
      </c>
      <c r="H46" s="143" t="e">
        <f>#REF!/#REF!</f>
        <v>#REF!</v>
      </c>
      <c r="I46" s="143" t="e">
        <f>#REF!/#REF!</f>
        <v>#REF!</v>
      </c>
      <c r="J46" s="143" t="e">
        <f>#REF!/#REF!</f>
        <v>#REF!</v>
      </c>
      <c r="K46" s="143" t="e">
        <f>#REF!/#REF!</f>
        <v>#REF!</v>
      </c>
      <c r="L46" s="143" t="e">
        <f>#REF!/#REF!</f>
        <v>#REF!</v>
      </c>
      <c r="M46" s="143" t="e">
        <f>#REF!/#REF!</f>
        <v>#REF!</v>
      </c>
      <c r="N46" s="143" t="e">
        <f>#REF!/#REF!</f>
        <v>#REF!</v>
      </c>
      <c r="O46" s="143" t="e">
        <f>#REF!/#REF!</f>
        <v>#REF!</v>
      </c>
      <c r="P46" s="143" t="e">
        <f>#REF!/#REF!</f>
        <v>#REF!</v>
      </c>
      <c r="Q46" s="143" t="e">
        <f>#REF!/#REF!</f>
        <v>#REF!</v>
      </c>
      <c r="R46" s="134"/>
      <c r="S46" s="134"/>
    </row>
    <row r="47" spans="1:19" ht="105.75" thickBot="1">
      <c r="A47" s="138" t="s">
        <v>154</v>
      </c>
      <c r="B47" s="134" t="s">
        <v>155</v>
      </c>
      <c r="C47" s="147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1:19" ht="15.75" thickBot="1">
      <c r="A48" s="145" t="s">
        <v>156</v>
      </c>
      <c r="B48" s="134" t="s">
        <v>148</v>
      </c>
      <c r="C48" s="134" t="s">
        <v>14</v>
      </c>
      <c r="D48" s="134" t="s">
        <v>157</v>
      </c>
      <c r="E48" s="142" t="e">
        <f>(F45/E45)*100</f>
        <v>#REF!</v>
      </c>
      <c r="F48" s="142" t="e">
        <f aca="true" t="shared" si="10" ref="F48:P48">(G45/F45)*100</f>
        <v>#REF!</v>
      </c>
      <c r="G48" s="142" t="e">
        <f t="shared" si="10"/>
        <v>#REF!</v>
      </c>
      <c r="H48" s="142" t="e">
        <f t="shared" si="10"/>
        <v>#REF!</v>
      </c>
      <c r="I48" s="142" t="e">
        <f t="shared" si="10"/>
        <v>#REF!</v>
      </c>
      <c r="J48" s="142" t="e">
        <f t="shared" si="10"/>
        <v>#REF!</v>
      </c>
      <c r="K48" s="142" t="e">
        <f t="shared" si="10"/>
        <v>#REF!</v>
      </c>
      <c r="L48" s="142" t="e">
        <f t="shared" si="10"/>
        <v>#REF!</v>
      </c>
      <c r="M48" s="142" t="e">
        <f t="shared" si="10"/>
        <v>#REF!</v>
      </c>
      <c r="N48" s="142" t="e">
        <f t="shared" si="10"/>
        <v>#REF!</v>
      </c>
      <c r="O48" s="142" t="e">
        <f t="shared" si="10"/>
        <v>#REF!</v>
      </c>
      <c r="P48" s="142" t="e">
        <f t="shared" si="10"/>
        <v>#REF!</v>
      </c>
      <c r="Q48" s="142">
        <v>100</v>
      </c>
      <c r="R48" s="134"/>
      <c r="S48" s="134" t="s">
        <v>97</v>
      </c>
    </row>
    <row r="49" spans="1:19" ht="33.75" customHeight="1" thickBot="1">
      <c r="A49" s="138" t="s">
        <v>158</v>
      </c>
      <c r="B49" s="134" t="s">
        <v>152</v>
      </c>
      <c r="C49" s="134" t="s">
        <v>14</v>
      </c>
      <c r="D49" s="134" t="s">
        <v>159</v>
      </c>
      <c r="E49" s="142" t="e">
        <f>(E46/$G$46)*100</f>
        <v>#REF!</v>
      </c>
      <c r="F49" s="142" t="e">
        <f aca="true" t="shared" si="11" ref="F49:Q49">(F46/$G$46)*100</f>
        <v>#REF!</v>
      </c>
      <c r="G49" s="142" t="e">
        <f t="shared" si="11"/>
        <v>#REF!</v>
      </c>
      <c r="H49" s="142" t="e">
        <f t="shared" si="11"/>
        <v>#REF!</v>
      </c>
      <c r="I49" s="142" t="e">
        <f t="shared" si="11"/>
        <v>#REF!</v>
      </c>
      <c r="J49" s="142" t="e">
        <f t="shared" si="11"/>
        <v>#REF!</v>
      </c>
      <c r="K49" s="142" t="e">
        <f t="shared" si="11"/>
        <v>#REF!</v>
      </c>
      <c r="L49" s="142" t="e">
        <f t="shared" si="11"/>
        <v>#REF!</v>
      </c>
      <c r="M49" s="142" t="e">
        <f t="shared" si="11"/>
        <v>#REF!</v>
      </c>
      <c r="N49" s="142" t="e">
        <f t="shared" si="11"/>
        <v>#REF!</v>
      </c>
      <c r="O49" s="142" t="e">
        <f t="shared" si="11"/>
        <v>#REF!</v>
      </c>
      <c r="P49" s="142" t="e">
        <f t="shared" si="11"/>
        <v>#REF!</v>
      </c>
      <c r="Q49" s="142" t="e">
        <f t="shared" si="11"/>
        <v>#REF!</v>
      </c>
      <c r="R49" s="134"/>
      <c r="S49" s="134" t="s">
        <v>97</v>
      </c>
    </row>
    <row r="50" spans="1:19" ht="90" customHeight="1" thickBot="1">
      <c r="A50" s="138" t="s">
        <v>160</v>
      </c>
      <c r="B50" s="134" t="s">
        <v>161</v>
      </c>
      <c r="C50" s="134" t="s">
        <v>14</v>
      </c>
      <c r="D50" s="134" t="s">
        <v>162</v>
      </c>
      <c r="E50" s="134" t="e">
        <f>(#REF!/#REF!)*100</f>
        <v>#REF!</v>
      </c>
      <c r="F50" s="134" t="e">
        <f>(#REF!/#REF!)*100</f>
        <v>#REF!</v>
      </c>
      <c r="G50" s="134" t="e">
        <f>(#REF!/#REF!)*100</f>
        <v>#REF!</v>
      </c>
      <c r="H50" s="134" t="e">
        <f>(#REF!/#REF!)*100</f>
        <v>#REF!</v>
      </c>
      <c r="I50" s="134" t="e">
        <f>(#REF!/#REF!)*100</f>
        <v>#REF!</v>
      </c>
      <c r="J50" s="134" t="e">
        <f>(#REF!/#REF!)*100</f>
        <v>#REF!</v>
      </c>
      <c r="K50" s="134" t="e">
        <f>(#REF!/#REF!)*100</f>
        <v>#REF!</v>
      </c>
      <c r="L50" s="134" t="e">
        <f>(#REF!/#REF!)*100</f>
        <v>#REF!</v>
      </c>
      <c r="M50" s="134" t="e">
        <f>(#REF!/#REF!)*100</f>
        <v>#REF!</v>
      </c>
      <c r="N50" s="134" t="e">
        <f>(#REF!/#REF!)*100</f>
        <v>#REF!</v>
      </c>
      <c r="O50" s="134" t="e">
        <f>(#REF!/#REF!)*100</f>
        <v>#REF!</v>
      </c>
      <c r="P50" s="134" t="e">
        <f>(#REF!/#REF!)*100</f>
        <v>#REF!</v>
      </c>
      <c r="Q50" s="134" t="e">
        <f>(#REF!/#REF!)*100</f>
        <v>#REF!</v>
      </c>
      <c r="R50" s="134"/>
      <c r="S50" s="134"/>
    </row>
    <row r="51" spans="1:19" ht="99" customHeight="1" thickBot="1">
      <c r="A51" s="138" t="s">
        <v>163</v>
      </c>
      <c r="B51" s="134" t="s">
        <v>165</v>
      </c>
      <c r="C51" s="134" t="s">
        <v>14</v>
      </c>
      <c r="D51" s="134" t="s">
        <v>166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/>
      <c r="S51" s="134" t="s">
        <v>97</v>
      </c>
    </row>
    <row r="52" spans="1:19" ht="111" customHeight="1" thickBot="1">
      <c r="A52" s="138" t="s">
        <v>167</v>
      </c>
      <c r="B52" s="134" t="s">
        <v>168</v>
      </c>
      <c r="C52" s="134" t="s">
        <v>14</v>
      </c>
      <c r="D52" s="134" t="s">
        <v>170</v>
      </c>
      <c r="E52" s="142" t="e">
        <f>(#REF!/#REF!)*100</f>
        <v>#REF!</v>
      </c>
      <c r="F52" s="142" t="e">
        <f>(#REF!/#REF!)*100</f>
        <v>#REF!</v>
      </c>
      <c r="G52" s="142" t="e">
        <f>(#REF!/#REF!)*100</f>
        <v>#REF!</v>
      </c>
      <c r="H52" s="142" t="e">
        <f>(#REF!/#REF!)*100</f>
        <v>#REF!</v>
      </c>
      <c r="I52" s="142" t="e">
        <f>(#REF!/#REF!)*100</f>
        <v>#REF!</v>
      </c>
      <c r="J52" s="142" t="e">
        <f>(#REF!/#REF!)*100</f>
        <v>#REF!</v>
      </c>
      <c r="K52" s="142" t="e">
        <f>(#REF!/#REF!)*100</f>
        <v>#REF!</v>
      </c>
      <c r="L52" s="142" t="e">
        <f>(#REF!/#REF!)*100</f>
        <v>#REF!</v>
      </c>
      <c r="M52" s="142" t="e">
        <f>(#REF!/#REF!)*100</f>
        <v>#REF!</v>
      </c>
      <c r="N52" s="142" t="e">
        <f>(#REF!/#REF!)*100</f>
        <v>#REF!</v>
      </c>
      <c r="O52" s="142" t="e">
        <f>(#REF!/#REF!)*100</f>
        <v>#REF!</v>
      </c>
      <c r="P52" s="142" t="e">
        <f>(#REF!/#REF!)*100</f>
        <v>#REF!</v>
      </c>
      <c r="Q52" s="142" t="e">
        <f>(#REF!/#REF!)*100</f>
        <v>#REF!</v>
      </c>
      <c r="R52" s="134"/>
      <c r="S52" s="134"/>
    </row>
    <row r="53" spans="1:19" ht="70.5" customHeight="1" thickBot="1">
      <c r="A53" s="138" t="s">
        <v>171</v>
      </c>
      <c r="B53" s="134" t="s">
        <v>172</v>
      </c>
      <c r="C53" s="134" t="s">
        <v>526</v>
      </c>
      <c r="D53" s="134" t="s">
        <v>173</v>
      </c>
      <c r="E53" s="134" t="e">
        <f>#REF!</f>
        <v>#REF!</v>
      </c>
      <c r="F53" s="134" t="e">
        <f>#REF!</f>
        <v>#REF!</v>
      </c>
      <c r="G53" s="134" t="e">
        <f>#REF!</f>
        <v>#REF!</v>
      </c>
      <c r="H53" s="134" t="e">
        <f>#REF!</f>
        <v>#REF!</v>
      </c>
      <c r="I53" s="134" t="e">
        <f>#REF!</f>
        <v>#REF!</v>
      </c>
      <c r="J53" s="134" t="e">
        <f>#REF!</f>
        <v>#REF!</v>
      </c>
      <c r="K53" s="134" t="e">
        <f>#REF!</f>
        <v>#REF!</v>
      </c>
      <c r="L53" s="134" t="e">
        <f>#REF!</f>
        <v>#REF!</v>
      </c>
      <c r="M53" s="134" t="e">
        <f>#REF!</f>
        <v>#REF!</v>
      </c>
      <c r="N53" s="134" t="e">
        <f>#REF!</f>
        <v>#REF!</v>
      </c>
      <c r="O53" s="134" t="e">
        <f>#REF!</f>
        <v>#REF!</v>
      </c>
      <c r="P53" s="134" t="e">
        <f>#REF!</f>
        <v>#REF!</v>
      </c>
      <c r="Q53" s="134" t="e">
        <f>#REF!</f>
        <v>#REF!</v>
      </c>
      <c r="R53" s="134"/>
      <c r="S53" s="134"/>
    </row>
    <row r="54" spans="1:19" ht="135.75" customHeight="1" thickBot="1">
      <c r="A54" s="138" t="s">
        <v>174</v>
      </c>
      <c r="B54" s="134" t="s">
        <v>175</v>
      </c>
      <c r="C54" s="134" t="s">
        <v>14</v>
      </c>
      <c r="D54" s="134" t="s">
        <v>176</v>
      </c>
      <c r="E54" s="134" t="e">
        <f>(#REF!/#REF!)*100</f>
        <v>#REF!</v>
      </c>
      <c r="F54" s="134" t="e">
        <f>(#REF!/#REF!)*100</f>
        <v>#REF!</v>
      </c>
      <c r="G54" s="134" t="e">
        <f>(#REF!/#REF!)*100</f>
        <v>#REF!</v>
      </c>
      <c r="H54" s="134" t="e">
        <f>(#REF!/#REF!)*100</f>
        <v>#REF!</v>
      </c>
      <c r="I54" s="134" t="e">
        <f>(#REF!/#REF!)*100</f>
        <v>#REF!</v>
      </c>
      <c r="J54" s="141" t="e">
        <f>(#REF!/#REF!)*100</f>
        <v>#REF!</v>
      </c>
      <c r="K54" s="141" t="e">
        <f>(#REF!/#REF!)*100</f>
        <v>#REF!</v>
      </c>
      <c r="L54" s="141" t="e">
        <f>(#REF!/#REF!)*100</f>
        <v>#REF!</v>
      </c>
      <c r="M54" s="141" t="e">
        <f>(#REF!/#REF!)*100</f>
        <v>#REF!</v>
      </c>
      <c r="N54" s="141" t="e">
        <f>(#REF!/#REF!)*100</f>
        <v>#REF!</v>
      </c>
      <c r="O54" s="141" t="e">
        <f>(#REF!/#REF!)*100</f>
        <v>#REF!</v>
      </c>
      <c r="P54" s="141" t="e">
        <f>(#REF!/#REF!)*100</f>
        <v>#REF!</v>
      </c>
      <c r="Q54" s="141" t="e">
        <f>(#REF!/#REF!)*100</f>
        <v>#REF!</v>
      </c>
      <c r="R54" s="141"/>
      <c r="S54" s="141"/>
    </row>
    <row r="55" spans="1:19" ht="163.5" customHeight="1" thickBot="1">
      <c r="A55" s="138" t="s">
        <v>177</v>
      </c>
      <c r="B55" s="196" t="s">
        <v>178</v>
      </c>
      <c r="C55" s="134" t="s">
        <v>14</v>
      </c>
      <c r="D55" s="134" t="s">
        <v>179</v>
      </c>
      <c r="E55" s="142" t="e">
        <f>(#REF!/#REF!)*100</f>
        <v>#REF!</v>
      </c>
      <c r="F55" s="142" t="e">
        <f>(#REF!/#REF!)*100</f>
        <v>#REF!</v>
      </c>
      <c r="G55" s="142" t="e">
        <f>(#REF!/#REF!)*100</f>
        <v>#REF!</v>
      </c>
      <c r="H55" s="142" t="e">
        <f>(#REF!/#REF!)*100</f>
        <v>#REF!</v>
      </c>
      <c r="I55" s="142" t="e">
        <f>(#REF!/#REF!)*100</f>
        <v>#REF!</v>
      </c>
      <c r="J55" s="142" t="e">
        <f>(#REF!/#REF!)*100</f>
        <v>#REF!</v>
      </c>
      <c r="K55" s="142" t="e">
        <f>(#REF!/#REF!)*100</f>
        <v>#REF!</v>
      </c>
      <c r="L55" s="142" t="e">
        <f>(#REF!/#REF!)*100</f>
        <v>#REF!</v>
      </c>
      <c r="M55" s="149" t="e">
        <f>(#REF!/#REF!)*100</f>
        <v>#REF!</v>
      </c>
      <c r="N55" s="149" t="e">
        <f>(#REF!/#REF!)*100</f>
        <v>#REF!</v>
      </c>
      <c r="O55" s="149" t="e">
        <f>(#REF!/#REF!)*100</f>
        <v>#REF!</v>
      </c>
      <c r="P55" s="149" t="e">
        <f>(#REF!/#REF!)*100</f>
        <v>#REF!</v>
      </c>
      <c r="Q55" s="149" t="e">
        <f>(#REF!/#REF!)*100</f>
        <v>#REF!</v>
      </c>
      <c r="R55" s="134"/>
      <c r="S55" s="134"/>
    </row>
    <row r="56" spans="1:19" ht="122.25" customHeight="1" thickBot="1">
      <c r="A56" s="138" t="s">
        <v>180</v>
      </c>
      <c r="B56" s="134" t="s">
        <v>181</v>
      </c>
      <c r="C56" s="134" t="s">
        <v>182</v>
      </c>
      <c r="D56" s="134" t="s">
        <v>183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34"/>
      <c r="S56" s="134"/>
    </row>
    <row r="57" spans="1:19" ht="31.5" customHeight="1" thickBot="1">
      <c r="A57" s="516" t="s">
        <v>184</v>
      </c>
      <c r="B57" s="517"/>
      <c r="C57" s="517"/>
      <c r="D57" s="517"/>
      <c r="E57" s="517"/>
      <c r="F57" s="517"/>
      <c r="G57" s="517"/>
      <c r="H57" s="517"/>
      <c r="I57" s="517"/>
      <c r="J57" s="517"/>
      <c r="K57" s="517"/>
      <c r="L57" s="517"/>
      <c r="M57" s="517"/>
      <c r="N57" s="517"/>
      <c r="O57" s="517"/>
      <c r="P57" s="517"/>
      <c r="Q57" s="517"/>
      <c r="R57" s="517"/>
      <c r="S57" s="518"/>
    </row>
    <row r="58" spans="1:19" ht="177" customHeight="1" thickBot="1">
      <c r="A58" s="138" t="s">
        <v>185</v>
      </c>
      <c r="B58" s="134" t="s">
        <v>187</v>
      </c>
      <c r="C58" s="134" t="s">
        <v>14</v>
      </c>
      <c r="D58" s="134" t="s">
        <v>188</v>
      </c>
      <c r="E58" s="155" t="e">
        <f>(#REF!/#REF!)*100</f>
        <v>#REF!</v>
      </c>
      <c r="F58" s="155" t="e">
        <f>(#REF!/#REF!)*100</f>
        <v>#REF!</v>
      </c>
      <c r="G58" s="155" t="e">
        <f>(#REF!/#REF!)*100</f>
        <v>#REF!</v>
      </c>
      <c r="H58" s="155" t="e">
        <f>(#REF!/#REF!)*100</f>
        <v>#REF!</v>
      </c>
      <c r="I58" s="155" t="e">
        <f>(#REF!/#REF!)*100</f>
        <v>#REF!</v>
      </c>
      <c r="J58" s="155" t="e">
        <f>(#REF!/#REF!)*100</f>
        <v>#REF!</v>
      </c>
      <c r="K58" s="155" t="e">
        <f>(#REF!/#REF!)*100</f>
        <v>#REF!</v>
      </c>
      <c r="L58" s="155" t="e">
        <f>(#REF!/#REF!)*100</f>
        <v>#REF!</v>
      </c>
      <c r="M58" s="155" t="e">
        <f>(#REF!/#REF!)*100</f>
        <v>#REF!</v>
      </c>
      <c r="N58" s="155" t="e">
        <f>(#REF!/#REF!)*100</f>
        <v>#REF!</v>
      </c>
      <c r="O58" s="155" t="e">
        <f>(#REF!/#REF!)*100</f>
        <v>#REF!</v>
      </c>
      <c r="P58" s="155" t="e">
        <f>(#REF!/#REF!)*100</f>
        <v>#REF!</v>
      </c>
      <c r="Q58" s="155" t="e">
        <f>(#REF!/#REF!)*100</f>
        <v>#REF!</v>
      </c>
      <c r="R58" s="148"/>
      <c r="S58" s="134"/>
    </row>
    <row r="59" spans="1:19" ht="170.25" customHeight="1" thickBot="1">
      <c r="A59" s="138" t="s">
        <v>189</v>
      </c>
      <c r="B59" s="134" t="s">
        <v>191</v>
      </c>
      <c r="C59" s="134" t="s">
        <v>14</v>
      </c>
      <c r="D59" s="134" t="s">
        <v>192</v>
      </c>
      <c r="E59" s="155" t="e">
        <f>(#REF!/#REF!)*100</f>
        <v>#REF!</v>
      </c>
      <c r="F59" s="155" t="e">
        <f>(#REF!/#REF!)*100</f>
        <v>#REF!</v>
      </c>
      <c r="G59" s="155" t="e">
        <f>(#REF!/#REF!)*100</f>
        <v>#REF!</v>
      </c>
      <c r="H59" s="155" t="e">
        <f>(#REF!/#REF!)*100</f>
        <v>#REF!</v>
      </c>
      <c r="I59" s="155" t="e">
        <f>(#REF!/#REF!)*100</f>
        <v>#REF!</v>
      </c>
      <c r="J59" s="155" t="e">
        <f>(#REF!/#REF!)*100</f>
        <v>#REF!</v>
      </c>
      <c r="K59" s="155" t="e">
        <f>(#REF!/#REF!)*100</f>
        <v>#REF!</v>
      </c>
      <c r="L59" s="155" t="e">
        <f>(#REF!/#REF!)*100</f>
        <v>#REF!</v>
      </c>
      <c r="M59" s="155" t="e">
        <f>(#REF!/#REF!)*100</f>
        <v>#REF!</v>
      </c>
      <c r="N59" s="155" t="e">
        <f>(#REF!/#REF!)*100</f>
        <v>#REF!</v>
      </c>
      <c r="O59" s="155" t="e">
        <f>(#REF!/#REF!)*100</f>
        <v>#REF!</v>
      </c>
      <c r="P59" s="155" t="e">
        <f>(#REF!/#REF!)*100</f>
        <v>#REF!</v>
      </c>
      <c r="Q59" s="155" t="e">
        <f>(#REF!/#REF!)*100</f>
        <v>#REF!</v>
      </c>
      <c r="R59" s="148"/>
      <c r="S59" s="134"/>
    </row>
    <row r="60" spans="1:19" ht="189.75" customHeight="1" thickBot="1">
      <c r="A60" s="138" t="s">
        <v>193</v>
      </c>
      <c r="B60" s="134" t="s">
        <v>194</v>
      </c>
      <c r="C60" s="134" t="s">
        <v>14</v>
      </c>
      <c r="D60" s="134" t="s">
        <v>195</v>
      </c>
      <c r="E60" s="155" t="e">
        <f>(#REF!/#REF!)*100</f>
        <v>#REF!</v>
      </c>
      <c r="F60" s="155" t="e">
        <f>(#REF!/#REF!)*100</f>
        <v>#REF!</v>
      </c>
      <c r="G60" s="155" t="e">
        <f>(#REF!/#REF!)*100</f>
        <v>#REF!</v>
      </c>
      <c r="H60" s="155" t="e">
        <f>(#REF!/#REF!)*100</f>
        <v>#REF!</v>
      </c>
      <c r="I60" s="155" t="e">
        <f>(#REF!/#REF!)*100</f>
        <v>#REF!</v>
      </c>
      <c r="J60" s="155" t="e">
        <f>(#REF!/#REF!)*100</f>
        <v>#REF!</v>
      </c>
      <c r="K60" s="155" t="e">
        <f>(#REF!/#REF!)*100</f>
        <v>#REF!</v>
      </c>
      <c r="L60" s="155" t="e">
        <f>(#REF!/#REF!)*100</f>
        <v>#REF!</v>
      </c>
      <c r="M60" s="155" t="e">
        <f>(#REF!/#REF!)*100</f>
        <v>#REF!</v>
      </c>
      <c r="N60" s="155" t="e">
        <f>(#REF!/#REF!)*100</f>
        <v>#REF!</v>
      </c>
      <c r="O60" s="155" t="e">
        <f>(#REF!/#REF!)*100</f>
        <v>#REF!</v>
      </c>
      <c r="P60" s="155" t="e">
        <f>(#REF!/#REF!)*100</f>
        <v>#REF!</v>
      </c>
      <c r="Q60" s="155" t="e">
        <f>(#REF!/#REF!)*100</f>
        <v>#REF!</v>
      </c>
      <c r="R60" s="148"/>
      <c r="S60" s="134"/>
    </row>
    <row r="61" spans="1:19" ht="157.5" customHeight="1" thickBot="1">
      <c r="A61" s="138" t="s">
        <v>196</v>
      </c>
      <c r="B61" s="134" t="s">
        <v>197</v>
      </c>
      <c r="C61" s="134" t="s">
        <v>14</v>
      </c>
      <c r="D61" s="134" t="s">
        <v>198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48"/>
      <c r="S61" s="134"/>
    </row>
    <row r="62" spans="1:19" ht="160.5" customHeight="1" thickBot="1">
      <c r="A62" s="138" t="s">
        <v>199</v>
      </c>
      <c r="B62" s="134" t="s">
        <v>200</v>
      </c>
      <c r="C62" s="134" t="s">
        <v>14</v>
      </c>
      <c r="D62" s="134" t="s">
        <v>201</v>
      </c>
      <c r="E62" s="155" t="e">
        <f>(#REF!/#REF!)*100</f>
        <v>#REF!</v>
      </c>
      <c r="F62" s="155" t="e">
        <f>(#REF!/#REF!)*100</f>
        <v>#REF!</v>
      </c>
      <c r="G62" s="155" t="e">
        <f>(#REF!/#REF!)*100</f>
        <v>#REF!</v>
      </c>
      <c r="H62" s="155" t="e">
        <f>(#REF!/#REF!)*100</f>
        <v>#REF!</v>
      </c>
      <c r="I62" s="155" t="e">
        <f>(#REF!/#REF!)*100</f>
        <v>#REF!</v>
      </c>
      <c r="J62" s="155" t="e">
        <f>(#REF!/#REF!)*100</f>
        <v>#REF!</v>
      </c>
      <c r="K62" s="155" t="e">
        <f>(#REF!/#REF!)*100</f>
        <v>#REF!</v>
      </c>
      <c r="L62" s="155" t="e">
        <f>(#REF!/#REF!)*100</f>
        <v>#REF!</v>
      </c>
      <c r="M62" s="155" t="e">
        <f>(#REF!/#REF!)*100</f>
        <v>#REF!</v>
      </c>
      <c r="N62" s="155" t="e">
        <f>(#REF!/#REF!)*100</f>
        <v>#REF!</v>
      </c>
      <c r="O62" s="155" t="e">
        <f>(#REF!/#REF!)*100</f>
        <v>#REF!</v>
      </c>
      <c r="P62" s="155" t="e">
        <f>(#REF!/#REF!)*100</f>
        <v>#REF!</v>
      </c>
      <c r="Q62" s="155" t="e">
        <f>(#REF!/#REF!)*100</f>
        <v>#REF!</v>
      </c>
      <c r="R62" s="148"/>
      <c r="S62" s="134"/>
    </row>
    <row r="63" spans="1:19" ht="192.75" customHeight="1" thickBot="1">
      <c r="A63" s="138" t="s">
        <v>202</v>
      </c>
      <c r="B63" s="134" t="s">
        <v>203</v>
      </c>
      <c r="C63" s="134" t="s">
        <v>14</v>
      </c>
      <c r="D63" s="134" t="s">
        <v>204</v>
      </c>
      <c r="E63" s="155" t="e">
        <f>(#REF!/#REF!)*100</f>
        <v>#REF!</v>
      </c>
      <c r="F63" s="155" t="e">
        <f>(#REF!/#REF!)*100</f>
        <v>#REF!</v>
      </c>
      <c r="G63" s="155" t="e">
        <f>(#REF!/#REF!)*100</f>
        <v>#REF!</v>
      </c>
      <c r="H63" s="155" t="e">
        <f>(#REF!/#REF!)*100</f>
        <v>#REF!</v>
      </c>
      <c r="I63" s="155" t="e">
        <f>(#REF!/#REF!)*100</f>
        <v>#REF!</v>
      </c>
      <c r="J63" s="155" t="e">
        <f>(#REF!/#REF!)*100</f>
        <v>#REF!</v>
      </c>
      <c r="K63" s="155" t="e">
        <f>(#REF!/#REF!)*100</f>
        <v>#REF!</v>
      </c>
      <c r="L63" s="155" t="e">
        <f>(#REF!/#REF!)*100</f>
        <v>#REF!</v>
      </c>
      <c r="M63" s="155" t="e">
        <f>(#REF!/#REF!)*100</f>
        <v>#REF!</v>
      </c>
      <c r="N63" s="155" t="e">
        <f>(#REF!/#REF!)*100</f>
        <v>#REF!</v>
      </c>
      <c r="O63" s="155" t="e">
        <f>(#REF!/#REF!)*100</f>
        <v>#REF!</v>
      </c>
      <c r="P63" s="155" t="e">
        <f>(#REF!/#REF!)*100</f>
        <v>#REF!</v>
      </c>
      <c r="Q63" s="155" t="e">
        <f>(#REF!/#REF!)*100</f>
        <v>#REF!</v>
      </c>
      <c r="R63" s="148"/>
      <c r="S63" s="134"/>
    </row>
    <row r="64" spans="1:19" ht="191.25" customHeight="1" thickBot="1">
      <c r="A64" s="138" t="s">
        <v>205</v>
      </c>
      <c r="B64" s="134" t="s">
        <v>206</v>
      </c>
      <c r="C64" s="134" t="s">
        <v>14</v>
      </c>
      <c r="D64" s="134" t="s">
        <v>207</v>
      </c>
      <c r="E64" s="155" t="e">
        <f>(#REF!/#REF!)*100</f>
        <v>#REF!</v>
      </c>
      <c r="F64" s="155" t="e">
        <f>(#REF!/#REF!)*100</f>
        <v>#REF!</v>
      </c>
      <c r="G64" s="155" t="e">
        <f>(#REF!/#REF!)*100</f>
        <v>#REF!</v>
      </c>
      <c r="H64" s="155" t="e">
        <f>(#REF!/#REF!)*100</f>
        <v>#REF!</v>
      </c>
      <c r="I64" s="155" t="e">
        <f>(#REF!/#REF!)*100</f>
        <v>#REF!</v>
      </c>
      <c r="J64" s="155" t="e">
        <f>(#REF!/#REF!)*100</f>
        <v>#REF!</v>
      </c>
      <c r="K64" s="155" t="e">
        <f>(#REF!/#REF!)*100</f>
        <v>#REF!</v>
      </c>
      <c r="L64" s="155" t="e">
        <f>(#REF!/#REF!)*100</f>
        <v>#REF!</v>
      </c>
      <c r="M64" s="155" t="e">
        <f>(#REF!/#REF!)*100</f>
        <v>#REF!</v>
      </c>
      <c r="N64" s="155" t="e">
        <f>(#REF!/#REF!)*100</f>
        <v>#REF!</v>
      </c>
      <c r="O64" s="155" t="e">
        <f>(#REF!/#REF!)*100</f>
        <v>#REF!</v>
      </c>
      <c r="P64" s="155" t="e">
        <f>(#REF!/#REF!)*100</f>
        <v>#REF!</v>
      </c>
      <c r="Q64" s="155" t="e">
        <f>(#REF!/#REF!)*100</f>
        <v>#REF!</v>
      </c>
      <c r="R64" s="148"/>
      <c r="S64" s="134"/>
    </row>
    <row r="65" spans="1:19" ht="213.75" customHeight="1" thickBot="1">
      <c r="A65" s="138" t="s">
        <v>208</v>
      </c>
      <c r="B65" s="134" t="s">
        <v>209</v>
      </c>
      <c r="C65" s="134" t="s">
        <v>14</v>
      </c>
      <c r="D65" s="134" t="s">
        <v>210</v>
      </c>
      <c r="E65" s="155" t="e">
        <f>(#REF!/#REF!)*100</f>
        <v>#REF!</v>
      </c>
      <c r="F65" s="155" t="e">
        <f>(#REF!/#REF!)*100</f>
        <v>#REF!</v>
      </c>
      <c r="G65" s="155" t="e">
        <f>(#REF!/#REF!)*100</f>
        <v>#REF!</v>
      </c>
      <c r="H65" s="155" t="e">
        <f>(#REF!/#REF!)*100</f>
        <v>#REF!</v>
      </c>
      <c r="I65" s="155" t="e">
        <f>(#REF!/#REF!)*100</f>
        <v>#REF!</v>
      </c>
      <c r="J65" s="155" t="e">
        <f>(#REF!/#REF!)*100</f>
        <v>#REF!</v>
      </c>
      <c r="K65" s="155" t="e">
        <f>(#REF!/#REF!)*100</f>
        <v>#REF!</v>
      </c>
      <c r="L65" s="155" t="e">
        <f>(#REF!/#REF!)*100</f>
        <v>#REF!</v>
      </c>
      <c r="M65" s="155" t="e">
        <f>(#REF!/#REF!)*100</f>
        <v>#REF!</v>
      </c>
      <c r="N65" s="155" t="e">
        <f>(#REF!/#REF!)*100</f>
        <v>#REF!</v>
      </c>
      <c r="O65" s="155" t="e">
        <f>(#REF!/#REF!)*100</f>
        <v>#REF!</v>
      </c>
      <c r="P65" s="155" t="e">
        <f>(#REF!/#REF!)*100</f>
        <v>#REF!</v>
      </c>
      <c r="Q65" s="155" t="e">
        <f>(#REF!/#REF!)*100</f>
        <v>#REF!</v>
      </c>
      <c r="R65" s="148"/>
      <c r="S65" s="134"/>
    </row>
    <row r="66" spans="1:19" ht="226.5" customHeight="1" thickBot="1">
      <c r="A66" s="138" t="s">
        <v>211</v>
      </c>
      <c r="B66" s="134" t="s">
        <v>212</v>
      </c>
      <c r="C66" s="134" t="s">
        <v>14</v>
      </c>
      <c r="D66" s="134" t="s">
        <v>213</v>
      </c>
      <c r="E66" s="155" t="e">
        <f>(#REF!/#REF!)*100</f>
        <v>#REF!</v>
      </c>
      <c r="F66" s="155" t="e">
        <f>(#REF!/#REF!)*100</f>
        <v>#REF!</v>
      </c>
      <c r="G66" s="155" t="e">
        <f>(#REF!/#REF!)*100</f>
        <v>#REF!</v>
      </c>
      <c r="H66" s="155" t="e">
        <f>(#REF!/#REF!)*100</f>
        <v>#REF!</v>
      </c>
      <c r="I66" s="155" t="e">
        <f>(#REF!/#REF!)*100</f>
        <v>#REF!</v>
      </c>
      <c r="J66" s="155" t="e">
        <f>(#REF!/#REF!)*100</f>
        <v>#REF!</v>
      </c>
      <c r="K66" s="154" t="e">
        <f>(#REF!/#REF!)*100</f>
        <v>#REF!</v>
      </c>
      <c r="L66" s="155" t="e">
        <f>(#REF!/#REF!)*100</f>
        <v>#REF!</v>
      </c>
      <c r="M66" s="155" t="e">
        <f>(#REF!/#REF!)*100</f>
        <v>#REF!</v>
      </c>
      <c r="N66" s="155" t="e">
        <f>(#REF!/#REF!)*100</f>
        <v>#REF!</v>
      </c>
      <c r="O66" s="155" t="e">
        <f>(#REF!/#REF!)*100</f>
        <v>#REF!</v>
      </c>
      <c r="P66" s="155" t="e">
        <f>(#REF!/#REF!)*100</f>
        <v>#REF!</v>
      </c>
      <c r="Q66" s="155" t="e">
        <f>(#REF!/#REF!)*100</f>
        <v>#REF!</v>
      </c>
      <c r="R66" s="148"/>
      <c r="S66" s="151"/>
    </row>
    <row r="67" spans="1:19" ht="236.25" customHeight="1" thickBot="1">
      <c r="A67" s="138" t="s">
        <v>214</v>
      </c>
      <c r="B67" s="134" t="s">
        <v>218</v>
      </c>
      <c r="C67" s="134" t="s">
        <v>14</v>
      </c>
      <c r="D67" s="134" t="s">
        <v>219</v>
      </c>
      <c r="E67" s="155" t="e">
        <f>(#REF!/#REF!)*100</f>
        <v>#REF!</v>
      </c>
      <c r="F67" s="155" t="e">
        <f>(#REF!/#REF!)*100</f>
        <v>#REF!</v>
      </c>
      <c r="G67" s="155" t="e">
        <f>(#REF!/#REF!)*100</f>
        <v>#REF!</v>
      </c>
      <c r="H67" s="155" t="e">
        <f>(#REF!/#REF!)*100</f>
        <v>#REF!</v>
      </c>
      <c r="I67" s="155" t="e">
        <f>(#REF!/#REF!)*100</f>
        <v>#REF!</v>
      </c>
      <c r="J67" s="155" t="e">
        <f>(#REF!/#REF!)*100</f>
        <v>#REF!</v>
      </c>
      <c r="K67" s="155" t="e">
        <f>(#REF!/#REF!)*100</f>
        <v>#REF!</v>
      </c>
      <c r="L67" s="155" t="e">
        <f>(#REF!/#REF!)*100</f>
        <v>#REF!</v>
      </c>
      <c r="M67" s="155" t="e">
        <f>(#REF!/#REF!)*100</f>
        <v>#REF!</v>
      </c>
      <c r="N67" s="155" t="e">
        <f>(#REF!/#REF!)*100</f>
        <v>#REF!</v>
      </c>
      <c r="O67" s="155" t="e">
        <f>(#REF!/#REF!)*100</f>
        <v>#REF!</v>
      </c>
      <c r="P67" s="155" t="e">
        <f>(#REF!/#REF!)*100</f>
        <v>#REF!</v>
      </c>
      <c r="Q67" s="155" t="e">
        <f>(#REF!/#REF!)*100</f>
        <v>#REF!</v>
      </c>
      <c r="R67" s="148"/>
      <c r="S67" s="152"/>
    </row>
    <row r="68" spans="1:19" ht="51" customHeight="1" thickBot="1">
      <c r="A68" s="198" t="s">
        <v>220</v>
      </c>
      <c r="B68" s="134" t="s">
        <v>221</v>
      </c>
      <c r="C68" s="134" t="s">
        <v>526</v>
      </c>
      <c r="D68" s="134" t="s">
        <v>222</v>
      </c>
      <c r="E68" s="184" t="e">
        <f>#REF!</f>
        <v>#REF!</v>
      </c>
      <c r="F68" s="184" t="e">
        <f>#REF!</f>
        <v>#REF!</v>
      </c>
      <c r="G68" s="184" t="e">
        <f>#REF!</f>
        <v>#REF!</v>
      </c>
      <c r="H68" s="184" t="e">
        <f>#REF!</f>
        <v>#REF!</v>
      </c>
      <c r="I68" s="184" t="e">
        <f>#REF!</f>
        <v>#REF!</v>
      </c>
      <c r="J68" s="184" t="e">
        <f>#REF!</f>
        <v>#REF!</v>
      </c>
      <c r="K68" s="184" t="e">
        <f>#REF!</f>
        <v>#REF!</v>
      </c>
      <c r="L68" s="184" t="e">
        <f>#REF!</f>
        <v>#REF!</v>
      </c>
      <c r="M68" s="184" t="e">
        <f>#REF!</f>
        <v>#REF!</v>
      </c>
      <c r="N68" s="184" t="e">
        <f>#REF!</f>
        <v>#REF!</v>
      </c>
      <c r="O68" s="184" t="e">
        <f>#REF!</f>
        <v>#REF!</v>
      </c>
      <c r="P68" s="184" t="e">
        <f>#REF!</f>
        <v>#REF!</v>
      </c>
      <c r="Q68" s="184" t="e">
        <f>#REF!</f>
        <v>#REF!</v>
      </c>
      <c r="R68" s="148"/>
      <c r="S68" s="134"/>
    </row>
    <row r="69" spans="1:19" ht="75" customHeight="1" thickBot="1">
      <c r="A69" s="138" t="s">
        <v>223</v>
      </c>
      <c r="B69" s="134" t="s">
        <v>224</v>
      </c>
      <c r="C69" s="134" t="s">
        <v>14</v>
      </c>
      <c r="D69" s="134" t="s">
        <v>225</v>
      </c>
      <c r="E69" s="155" t="e">
        <f>(#REF!/#REF!)*100</f>
        <v>#REF!</v>
      </c>
      <c r="F69" s="155" t="e">
        <f>(#REF!/#REF!)*100</f>
        <v>#REF!</v>
      </c>
      <c r="G69" s="155" t="e">
        <f>(#REF!/#REF!)*100</f>
        <v>#REF!</v>
      </c>
      <c r="H69" s="155" t="e">
        <f>(#REF!/#REF!)*100</f>
        <v>#REF!</v>
      </c>
      <c r="I69" s="155" t="e">
        <f>(#REF!/#REF!)*100</f>
        <v>#REF!</v>
      </c>
      <c r="J69" s="155" t="e">
        <f>(#REF!/#REF!)*100</f>
        <v>#REF!</v>
      </c>
      <c r="K69" s="155" t="e">
        <f>(#REF!/#REF!)*100</f>
        <v>#REF!</v>
      </c>
      <c r="L69" s="155" t="e">
        <f>(#REF!/#REF!)*100</f>
        <v>#REF!</v>
      </c>
      <c r="M69" s="155" t="e">
        <f>(#REF!/#REF!)*100</f>
        <v>#REF!</v>
      </c>
      <c r="N69" s="155" t="e">
        <f>(#REF!/#REF!)*100</f>
        <v>#REF!</v>
      </c>
      <c r="O69" s="155" t="e">
        <f>(#REF!/#REF!)*100</f>
        <v>#REF!</v>
      </c>
      <c r="P69" s="155" t="e">
        <f>(#REF!/#REF!)*100</f>
        <v>#REF!</v>
      </c>
      <c r="Q69" s="155" t="e">
        <f>(#REF!/#REF!)*100</f>
        <v>#REF!</v>
      </c>
      <c r="R69" s="134"/>
      <c r="S69" s="134"/>
    </row>
    <row r="70" spans="1:19" ht="172.5" customHeight="1" thickBot="1">
      <c r="A70" s="138" t="s">
        <v>226</v>
      </c>
      <c r="B70" s="134" t="s">
        <v>228</v>
      </c>
      <c r="C70" s="134" t="s">
        <v>91</v>
      </c>
      <c r="D70" s="134" t="s">
        <v>229</v>
      </c>
      <c r="E70" s="194" t="e">
        <f>(#REF!+#REF!)/#REF!</f>
        <v>#REF!</v>
      </c>
      <c r="F70" s="194" t="e">
        <f>(#REF!+#REF!)/#REF!</f>
        <v>#REF!</v>
      </c>
      <c r="G70" s="194" t="e">
        <f>(#REF!+#REF!)/#REF!</f>
        <v>#REF!</v>
      </c>
      <c r="H70" s="194" t="e">
        <f>(#REF!+#REF!)/#REF!</f>
        <v>#REF!</v>
      </c>
      <c r="I70" s="194" t="e">
        <f>(#REF!+#REF!)/#REF!</f>
        <v>#REF!</v>
      </c>
      <c r="J70" s="150" t="e">
        <f>(#REF!+#REF!)/#REF!</f>
        <v>#REF!</v>
      </c>
      <c r="K70" s="150" t="e">
        <f>(#REF!+#REF!)/#REF!</f>
        <v>#REF!</v>
      </c>
      <c r="L70" s="150" t="e">
        <f>(#REF!+#REF!)/#REF!</f>
        <v>#REF!</v>
      </c>
      <c r="M70" s="150" t="e">
        <f>(#REF!+#REF!)/#REF!</f>
        <v>#REF!</v>
      </c>
      <c r="N70" s="150" t="e">
        <f>(#REF!+#REF!)/#REF!</f>
        <v>#REF!</v>
      </c>
      <c r="O70" s="150" t="e">
        <f>(#REF!+#REF!)/#REF!</f>
        <v>#REF!</v>
      </c>
      <c r="P70" s="150" t="e">
        <f>(#REF!+#REF!)/#REF!</f>
        <v>#REF!</v>
      </c>
      <c r="Q70" s="150" t="e">
        <f>(#REF!+#REF!)/#REF!</f>
        <v>#REF!</v>
      </c>
      <c r="R70" s="134"/>
      <c r="S70" s="134"/>
    </row>
    <row r="71" spans="1:19" ht="129" customHeight="1" thickBot="1">
      <c r="A71" s="138" t="s">
        <v>230</v>
      </c>
      <c r="B71" s="144" t="s">
        <v>231</v>
      </c>
      <c r="C71" s="134" t="s">
        <v>91</v>
      </c>
      <c r="D71" s="144" t="s">
        <v>232</v>
      </c>
      <c r="E71" s="194" t="e">
        <f>((#REF!-#REF!)+(#REF!-#REF!))/#REF!</f>
        <v>#REF!</v>
      </c>
      <c r="F71" s="194" t="e">
        <f>((#REF!-#REF!)+(#REF!-#REF!))/#REF!</f>
        <v>#REF!</v>
      </c>
      <c r="G71" s="194" t="e">
        <f>((#REF!-#REF!)+(#REF!-#REF!))/#REF!</f>
        <v>#REF!</v>
      </c>
      <c r="H71" s="194" t="e">
        <f>((#REF!-#REF!)+(#REF!-#REF!))/#REF!</f>
        <v>#REF!</v>
      </c>
      <c r="I71" s="194" t="e">
        <f>((#REF!-#REF!)+(#REF!-#REF!))/#REF!</f>
        <v>#REF!</v>
      </c>
      <c r="J71" s="150" t="e">
        <f>((#REF!-#REF!)+(#REF!-#REF!))/#REF!</f>
        <v>#REF!</v>
      </c>
      <c r="K71" s="150" t="e">
        <f>((#REF!-#REF!)+(#REF!-#REF!))/#REF!</f>
        <v>#REF!</v>
      </c>
      <c r="L71" s="150" t="e">
        <f>((#REF!-#REF!)+(#REF!-#REF!))/#REF!</f>
        <v>#REF!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34"/>
      <c r="S71" s="134"/>
    </row>
    <row r="72" spans="1:19" ht="164.25" customHeight="1" thickBot="1">
      <c r="A72" s="138" t="s">
        <v>233</v>
      </c>
      <c r="B72" s="134" t="s">
        <v>234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 t="s">
        <v>150</v>
      </c>
    </row>
    <row r="73" spans="1:19" ht="75.75" thickBot="1">
      <c r="A73" s="138" t="s">
        <v>235</v>
      </c>
      <c r="B73" s="134" t="s">
        <v>148</v>
      </c>
      <c r="C73" s="134" t="s">
        <v>91</v>
      </c>
      <c r="D73" s="134" t="s">
        <v>236</v>
      </c>
      <c r="E73" s="149" t="e">
        <f>F70-E70</f>
        <v>#REF!</v>
      </c>
      <c r="F73" s="149" t="e">
        <f>G70-F70</f>
        <v>#REF!</v>
      </c>
      <c r="G73" s="149" t="e">
        <f>H70-G70</f>
        <v>#REF!</v>
      </c>
      <c r="H73" s="199" t="e">
        <f aca="true" t="shared" si="12" ref="H73:P73">I70-H70</f>
        <v>#REF!</v>
      </c>
      <c r="I73" s="150" t="e">
        <f t="shared" si="12"/>
        <v>#REF!</v>
      </c>
      <c r="J73" s="150" t="e">
        <f t="shared" si="12"/>
        <v>#REF!</v>
      </c>
      <c r="K73" s="150" t="e">
        <f t="shared" si="12"/>
        <v>#REF!</v>
      </c>
      <c r="L73" s="150" t="e">
        <f t="shared" si="12"/>
        <v>#REF!</v>
      </c>
      <c r="M73" s="149" t="e">
        <f t="shared" si="12"/>
        <v>#REF!</v>
      </c>
      <c r="N73" s="149" t="e">
        <f t="shared" si="12"/>
        <v>#REF!</v>
      </c>
      <c r="O73" s="149" t="e">
        <f t="shared" si="12"/>
        <v>#REF!</v>
      </c>
      <c r="P73" s="149" t="e">
        <f t="shared" si="12"/>
        <v>#REF!</v>
      </c>
      <c r="Q73" s="149">
        <v>0</v>
      </c>
      <c r="R73" s="134"/>
      <c r="S73" s="134" t="s">
        <v>150</v>
      </c>
    </row>
    <row r="74" spans="1:19" ht="30.75" thickBot="1">
      <c r="A74" s="138" t="s">
        <v>237</v>
      </c>
      <c r="B74" s="134" t="s">
        <v>152</v>
      </c>
      <c r="C74" s="134" t="s">
        <v>91</v>
      </c>
      <c r="D74" s="134" t="s">
        <v>238</v>
      </c>
      <c r="E74" s="149">
        <v>0</v>
      </c>
      <c r="F74" s="149">
        <v>0</v>
      </c>
      <c r="G74" s="149" t="e">
        <f>G70-$G$70</f>
        <v>#REF!</v>
      </c>
      <c r="H74" s="150" t="e">
        <f aca="true" t="shared" si="13" ref="H74:Q74">H70-$G$70</f>
        <v>#REF!</v>
      </c>
      <c r="I74" s="150" t="e">
        <f t="shared" si="13"/>
        <v>#REF!</v>
      </c>
      <c r="J74" s="150" t="e">
        <f t="shared" si="13"/>
        <v>#REF!</v>
      </c>
      <c r="K74" s="150" t="e">
        <f t="shared" si="13"/>
        <v>#REF!</v>
      </c>
      <c r="L74" s="150" t="e">
        <f t="shared" si="13"/>
        <v>#REF!</v>
      </c>
      <c r="M74" s="150" t="e">
        <f t="shared" si="13"/>
        <v>#REF!</v>
      </c>
      <c r="N74" s="150" t="e">
        <f t="shared" si="13"/>
        <v>#REF!</v>
      </c>
      <c r="O74" s="150" t="e">
        <f t="shared" si="13"/>
        <v>#REF!</v>
      </c>
      <c r="P74" s="150" t="e">
        <f t="shared" si="13"/>
        <v>#REF!</v>
      </c>
      <c r="Q74" s="150" t="e">
        <f t="shared" si="13"/>
        <v>#REF!</v>
      </c>
      <c r="R74" s="134"/>
      <c r="S74" s="134"/>
    </row>
    <row r="75" spans="1:19" ht="127.5" customHeight="1" thickBot="1">
      <c r="A75" s="138" t="s">
        <v>239</v>
      </c>
      <c r="B75" s="134" t="s">
        <v>240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 t="s">
        <v>150</v>
      </c>
    </row>
    <row r="76" spans="1:19" ht="75.75" thickBot="1">
      <c r="A76" s="145" t="s">
        <v>241</v>
      </c>
      <c r="B76" s="134" t="s">
        <v>148</v>
      </c>
      <c r="C76" s="134" t="s">
        <v>91</v>
      </c>
      <c r="D76" s="134" t="s">
        <v>242</v>
      </c>
      <c r="E76" s="149" t="e">
        <f>F71-E71</f>
        <v>#REF!</v>
      </c>
      <c r="F76" s="149" t="e">
        <f aca="true" t="shared" si="14" ref="F76:P76">G71-F71</f>
        <v>#REF!</v>
      </c>
      <c r="G76" s="150" t="e">
        <f t="shared" si="14"/>
        <v>#REF!</v>
      </c>
      <c r="H76" s="199" t="e">
        <f t="shared" si="14"/>
        <v>#REF!</v>
      </c>
      <c r="I76" s="150" t="e">
        <f t="shared" si="14"/>
        <v>#REF!</v>
      </c>
      <c r="J76" s="150" t="e">
        <f t="shared" si="14"/>
        <v>#REF!</v>
      </c>
      <c r="K76" s="150" t="e">
        <f t="shared" si="14"/>
        <v>#REF!</v>
      </c>
      <c r="L76" s="150" t="e">
        <f t="shared" si="14"/>
        <v>#REF!</v>
      </c>
      <c r="M76" s="149">
        <f t="shared" si="14"/>
        <v>0</v>
      </c>
      <c r="N76" s="149">
        <f t="shared" si="14"/>
        <v>0</v>
      </c>
      <c r="O76" s="149">
        <f t="shared" si="14"/>
        <v>0</v>
      </c>
      <c r="P76" s="149">
        <f t="shared" si="14"/>
        <v>0</v>
      </c>
      <c r="Q76" s="149">
        <v>0</v>
      </c>
      <c r="R76" s="134"/>
      <c r="S76" s="134" t="s">
        <v>150</v>
      </c>
    </row>
    <row r="77" spans="1:19" ht="46.5" customHeight="1" thickBot="1">
      <c r="A77" s="138" t="s">
        <v>243</v>
      </c>
      <c r="B77" s="134" t="s">
        <v>152</v>
      </c>
      <c r="C77" s="134" t="s">
        <v>91</v>
      </c>
      <c r="D77" s="134" t="s">
        <v>244</v>
      </c>
      <c r="E77" s="142">
        <v>0</v>
      </c>
      <c r="F77" s="142">
        <v>0</v>
      </c>
      <c r="G77" s="134" t="e">
        <f>G71-$G$71</f>
        <v>#REF!</v>
      </c>
      <c r="H77" s="143" t="e">
        <f aca="true" t="shared" si="15" ref="H77:Q77">H71-$G$71</f>
        <v>#REF!</v>
      </c>
      <c r="I77" s="143" t="e">
        <f t="shared" si="15"/>
        <v>#REF!</v>
      </c>
      <c r="J77" s="143" t="e">
        <f t="shared" si="15"/>
        <v>#REF!</v>
      </c>
      <c r="K77" s="143" t="e">
        <f t="shared" si="15"/>
        <v>#REF!</v>
      </c>
      <c r="L77" s="142" t="e">
        <f t="shared" si="15"/>
        <v>#REF!</v>
      </c>
      <c r="M77" s="142" t="e">
        <f t="shared" si="15"/>
        <v>#REF!</v>
      </c>
      <c r="N77" s="142" t="e">
        <f t="shared" si="15"/>
        <v>#REF!</v>
      </c>
      <c r="O77" s="142" t="e">
        <f t="shared" si="15"/>
        <v>#REF!</v>
      </c>
      <c r="P77" s="142" t="e">
        <f t="shared" si="15"/>
        <v>#REF!</v>
      </c>
      <c r="Q77" s="142" t="e">
        <f t="shared" si="15"/>
        <v>#REF!</v>
      </c>
      <c r="R77" s="134"/>
      <c r="S77" s="134"/>
    </row>
    <row r="78" spans="1:19" ht="193.5" customHeight="1" thickBot="1">
      <c r="A78" s="138" t="s">
        <v>245</v>
      </c>
      <c r="B78" s="134" t="s">
        <v>249</v>
      </c>
      <c r="C78" s="134"/>
      <c r="D78" s="134"/>
      <c r="E78" s="134"/>
      <c r="F78" s="134"/>
      <c r="G78" s="134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34"/>
      <c r="S78" s="134"/>
    </row>
    <row r="79" spans="1:19" ht="30.75" thickBot="1">
      <c r="A79" s="138" t="s">
        <v>250</v>
      </c>
      <c r="B79" s="134" t="s">
        <v>148</v>
      </c>
      <c r="C79" s="134" t="s">
        <v>102</v>
      </c>
      <c r="D79" s="134" t="s">
        <v>251</v>
      </c>
      <c r="E79" s="134">
        <v>0</v>
      </c>
      <c r="F79" s="134">
        <v>0</v>
      </c>
      <c r="G79" s="142" t="e">
        <f aca="true" t="shared" si="16" ref="G79:P79">H71/H70-G71/G70</f>
        <v>#REF!</v>
      </c>
      <c r="H79" s="143" t="e">
        <f t="shared" si="16"/>
        <v>#REF!</v>
      </c>
      <c r="I79" s="143" t="e">
        <f t="shared" si="16"/>
        <v>#REF!</v>
      </c>
      <c r="J79" s="142" t="e">
        <f t="shared" si="16"/>
        <v>#REF!</v>
      </c>
      <c r="K79" s="142" t="e">
        <f t="shared" si="16"/>
        <v>#REF!</v>
      </c>
      <c r="L79" s="142" t="e">
        <f t="shared" si="16"/>
        <v>#REF!</v>
      </c>
      <c r="M79" s="142" t="e">
        <f t="shared" si="16"/>
        <v>#REF!</v>
      </c>
      <c r="N79" s="142" t="e">
        <f t="shared" si="16"/>
        <v>#REF!</v>
      </c>
      <c r="O79" s="142" t="e">
        <f t="shared" si="16"/>
        <v>#REF!</v>
      </c>
      <c r="P79" s="142" t="e">
        <f t="shared" si="16"/>
        <v>#REF!</v>
      </c>
      <c r="Q79" s="142">
        <v>0</v>
      </c>
      <c r="R79" s="134"/>
      <c r="S79" s="134"/>
    </row>
    <row r="80" spans="1:19" ht="30.75" thickBot="1">
      <c r="A80" s="138" t="s">
        <v>252</v>
      </c>
      <c r="B80" s="134" t="s">
        <v>152</v>
      </c>
      <c r="C80" s="134" t="s">
        <v>102</v>
      </c>
      <c r="D80" s="134" t="s">
        <v>253</v>
      </c>
      <c r="E80" s="134">
        <v>0</v>
      </c>
      <c r="F80" s="134">
        <v>0</v>
      </c>
      <c r="G80" s="134" t="e">
        <f>G71/G70-$G$71/$G$70</f>
        <v>#REF!</v>
      </c>
      <c r="H80" s="142" t="e">
        <f aca="true" t="shared" si="17" ref="H80:Q80">H71/H70-$G$71/$G$70</f>
        <v>#REF!</v>
      </c>
      <c r="I80" s="142" t="e">
        <f t="shared" si="17"/>
        <v>#REF!</v>
      </c>
      <c r="J80" s="142" t="e">
        <f t="shared" si="17"/>
        <v>#REF!</v>
      </c>
      <c r="K80" s="142" t="e">
        <f t="shared" si="17"/>
        <v>#REF!</v>
      </c>
      <c r="L80" s="142" t="e">
        <f t="shared" si="17"/>
        <v>#REF!</v>
      </c>
      <c r="M80" s="142" t="e">
        <f t="shared" si="17"/>
        <v>#REF!</v>
      </c>
      <c r="N80" s="142" t="e">
        <f t="shared" si="17"/>
        <v>#REF!</v>
      </c>
      <c r="O80" s="142" t="e">
        <f t="shared" si="17"/>
        <v>#REF!</v>
      </c>
      <c r="P80" s="142" t="e">
        <f t="shared" si="17"/>
        <v>#REF!</v>
      </c>
      <c r="Q80" s="142" t="e">
        <f t="shared" si="17"/>
        <v>#REF!</v>
      </c>
      <c r="R80" s="134"/>
      <c r="S80" s="134"/>
    </row>
    <row r="81" spans="1:20" ht="181.5" customHeight="1" thickBot="1">
      <c r="A81" s="138" t="s">
        <v>254</v>
      </c>
      <c r="B81" s="144" t="s">
        <v>256</v>
      </c>
      <c r="C81" s="134" t="s">
        <v>257</v>
      </c>
      <c r="D81" s="134" t="s">
        <v>258</v>
      </c>
      <c r="E81" s="134">
        <v>0</v>
      </c>
      <c r="F81" s="134">
        <v>0</v>
      </c>
      <c r="G81" s="142" t="e">
        <f>(#REF!+#REF!)/#REF!</f>
        <v>#REF!</v>
      </c>
      <c r="H81" s="142" t="e">
        <f>(#REF!+#REF!)/#REF!</f>
        <v>#REF!</v>
      </c>
      <c r="I81" s="142" t="e">
        <f>(#REF!+#REF!)/#REF!</f>
        <v>#REF!</v>
      </c>
      <c r="J81" s="142" t="e">
        <f>(#REF!+#REF!)/#REF!</f>
        <v>#REF!</v>
      </c>
      <c r="K81" s="142" t="e">
        <f>(#REF!+#REF!)/#REF!</f>
        <v>#REF!</v>
      </c>
      <c r="L81" s="142" t="e">
        <f>(#REF!+#REF!)/#REF!</f>
        <v>#REF!</v>
      </c>
      <c r="M81" s="142" t="e">
        <f>(#REF!+#REF!)/#REF!</f>
        <v>#REF!</v>
      </c>
      <c r="N81" s="142" t="e">
        <f>(#REF!+#REF!)/#REF!</f>
        <v>#REF!</v>
      </c>
      <c r="O81" s="142" t="e">
        <f>(#REF!+#REF!)/#REF!</f>
        <v>#REF!</v>
      </c>
      <c r="P81" s="142" t="e">
        <f>(#REF!+#REF!)/#REF!</f>
        <v>#REF!</v>
      </c>
      <c r="Q81" s="142" t="e">
        <f>(#REF!+#REF!)/#REF!</f>
        <v>#REF!</v>
      </c>
      <c r="R81" s="134"/>
      <c r="T81" s="134" t="e">
        <f>P81*1000/365*70</f>
        <v>#REF!</v>
      </c>
    </row>
    <row r="82" spans="1:19" ht="146.25" customHeight="1" thickBot="1">
      <c r="A82" s="138" t="s">
        <v>259</v>
      </c>
      <c r="B82" s="144" t="s">
        <v>274</v>
      </c>
      <c r="C82" s="134" t="s">
        <v>257</v>
      </c>
      <c r="D82" s="193" t="s">
        <v>260</v>
      </c>
      <c r="E82" s="142" t="e">
        <f>((#REF!-#REF!)+(#REF!-#REF!))/#REF!</f>
        <v>#REF!</v>
      </c>
      <c r="F82" s="142" t="e">
        <f>((#REF!-#REF!)+(#REF!-#REF!))/#REF!</f>
        <v>#REF!</v>
      </c>
      <c r="G82" s="142" t="e">
        <f>((#REF!-#REF!)+(#REF!-#REF!))/#REF!</f>
        <v>#REF!</v>
      </c>
      <c r="H82" s="142" t="e">
        <f>((#REF!-#REF!)+(#REF!-#REF!))/#REF!</f>
        <v>#REF!</v>
      </c>
      <c r="I82" s="142" t="e">
        <f>((#REF!-#REF!)+(#REF!-#REF!))/#REF!</f>
        <v>#REF!</v>
      </c>
      <c r="J82" s="142" t="e">
        <f>((#REF!-#REF!)+(#REF!-#REF!))/#REF!</f>
        <v>#REF!</v>
      </c>
      <c r="K82" s="142" t="e">
        <f>((#REF!-#REF!)+(#REF!-#REF!))/#REF!</f>
        <v>#REF!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34"/>
      <c r="S82" s="134"/>
    </row>
    <row r="83" spans="1:19" ht="209.25" customHeight="1" thickBot="1">
      <c r="A83" s="138" t="s">
        <v>261</v>
      </c>
      <c r="B83" s="134" t="s">
        <v>262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</row>
    <row r="84" spans="1:19" ht="76.5" customHeight="1" thickBot="1">
      <c r="A84" s="138" t="s">
        <v>263</v>
      </c>
      <c r="B84" s="134" t="s">
        <v>148</v>
      </c>
      <c r="C84" s="134" t="s">
        <v>257</v>
      </c>
      <c r="D84" s="134" t="s">
        <v>264</v>
      </c>
      <c r="E84" s="142">
        <v>0</v>
      </c>
      <c r="F84" s="142">
        <v>0</v>
      </c>
      <c r="G84" s="142" t="e">
        <f aca="true" t="shared" si="18" ref="G84:P84">H81-G81</f>
        <v>#REF!</v>
      </c>
      <c r="H84" s="142" t="e">
        <f t="shared" si="18"/>
        <v>#REF!</v>
      </c>
      <c r="I84" s="142" t="e">
        <f t="shared" si="18"/>
        <v>#REF!</v>
      </c>
      <c r="J84" s="142" t="e">
        <f t="shared" si="18"/>
        <v>#REF!</v>
      </c>
      <c r="K84" s="142" t="e">
        <f t="shared" si="18"/>
        <v>#REF!</v>
      </c>
      <c r="L84" s="142" t="e">
        <f t="shared" si="18"/>
        <v>#REF!</v>
      </c>
      <c r="M84" s="142" t="e">
        <f t="shared" si="18"/>
        <v>#REF!</v>
      </c>
      <c r="N84" s="142" t="e">
        <f t="shared" si="18"/>
        <v>#REF!</v>
      </c>
      <c r="O84" s="142" t="e">
        <f t="shared" si="18"/>
        <v>#REF!</v>
      </c>
      <c r="P84" s="142" t="e">
        <f t="shared" si="18"/>
        <v>#REF!</v>
      </c>
      <c r="Q84" s="142">
        <v>0</v>
      </c>
      <c r="R84" s="134"/>
      <c r="S84" s="134" t="s">
        <v>150</v>
      </c>
    </row>
    <row r="85" spans="1:19" ht="30.75" thickBot="1">
      <c r="A85" s="138" t="s">
        <v>265</v>
      </c>
      <c r="B85" s="134" t="s">
        <v>152</v>
      </c>
      <c r="C85" s="134" t="s">
        <v>257</v>
      </c>
      <c r="D85" s="134" t="s">
        <v>266</v>
      </c>
      <c r="E85" s="142">
        <v>0</v>
      </c>
      <c r="F85" s="142">
        <v>0</v>
      </c>
      <c r="G85" s="142" t="e">
        <f aca="true" t="shared" si="19" ref="G85:Q85">G81-$G$81</f>
        <v>#REF!</v>
      </c>
      <c r="H85" s="142" t="e">
        <f t="shared" si="19"/>
        <v>#REF!</v>
      </c>
      <c r="I85" s="142" t="e">
        <f t="shared" si="19"/>
        <v>#REF!</v>
      </c>
      <c r="J85" s="142" t="e">
        <f t="shared" si="19"/>
        <v>#REF!</v>
      </c>
      <c r="K85" s="142" t="e">
        <f t="shared" si="19"/>
        <v>#REF!</v>
      </c>
      <c r="L85" s="142" t="e">
        <f t="shared" si="19"/>
        <v>#REF!</v>
      </c>
      <c r="M85" s="142" t="e">
        <f t="shared" si="19"/>
        <v>#REF!</v>
      </c>
      <c r="N85" s="142" t="e">
        <f t="shared" si="19"/>
        <v>#REF!</v>
      </c>
      <c r="O85" s="142" t="e">
        <f t="shared" si="19"/>
        <v>#REF!</v>
      </c>
      <c r="P85" s="142" t="e">
        <f t="shared" si="19"/>
        <v>#REF!</v>
      </c>
      <c r="Q85" s="142" t="e">
        <f t="shared" si="19"/>
        <v>#REF!</v>
      </c>
      <c r="R85" s="134"/>
      <c r="S85" s="134"/>
    </row>
    <row r="86" spans="1:19" ht="165.75" customHeight="1" thickBot="1">
      <c r="A86" s="138" t="s">
        <v>267</v>
      </c>
      <c r="B86" s="134" t="s">
        <v>268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</row>
    <row r="87" spans="1:19" ht="86.25" customHeight="1" thickBot="1">
      <c r="A87" s="138" t="s">
        <v>269</v>
      </c>
      <c r="B87" s="134" t="s">
        <v>148</v>
      </c>
      <c r="C87" s="134" t="s">
        <v>257</v>
      </c>
      <c r="D87" s="134" t="s">
        <v>270</v>
      </c>
      <c r="E87" s="143" t="e">
        <f>F82-E82</f>
        <v>#REF!</v>
      </c>
      <c r="F87" s="143" t="e">
        <f aca="true" t="shared" si="20" ref="F87:P87">G82-F82</f>
        <v>#REF!</v>
      </c>
      <c r="G87" s="143" t="e">
        <f t="shared" si="20"/>
        <v>#REF!</v>
      </c>
      <c r="H87" s="143" t="e">
        <f t="shared" si="20"/>
        <v>#REF!</v>
      </c>
      <c r="I87" s="143" t="e">
        <f t="shared" si="20"/>
        <v>#REF!</v>
      </c>
      <c r="J87" s="143" t="e">
        <f t="shared" si="20"/>
        <v>#REF!</v>
      </c>
      <c r="K87" s="143" t="e">
        <f t="shared" si="20"/>
        <v>#REF!</v>
      </c>
      <c r="L87" s="143">
        <f t="shared" si="20"/>
        <v>0</v>
      </c>
      <c r="M87" s="143">
        <f t="shared" si="20"/>
        <v>0</v>
      </c>
      <c r="N87" s="143">
        <f t="shared" si="20"/>
        <v>0</v>
      </c>
      <c r="O87" s="143">
        <f t="shared" si="20"/>
        <v>0</v>
      </c>
      <c r="P87" s="143">
        <f t="shared" si="20"/>
        <v>0</v>
      </c>
      <c r="Q87" s="143">
        <v>0</v>
      </c>
      <c r="R87" s="134"/>
      <c r="S87" s="134" t="s">
        <v>150</v>
      </c>
    </row>
    <row r="88" spans="1:19" ht="36.75" customHeight="1" thickBot="1">
      <c r="A88" s="138" t="s">
        <v>271</v>
      </c>
      <c r="B88" s="134" t="s">
        <v>152</v>
      </c>
      <c r="C88" s="134" t="s">
        <v>257</v>
      </c>
      <c r="D88" s="134" t="s">
        <v>272</v>
      </c>
      <c r="E88" s="143">
        <v>0</v>
      </c>
      <c r="F88" s="143">
        <v>0</v>
      </c>
      <c r="G88" s="143" t="e">
        <f aca="true" t="shared" si="21" ref="G88:Q88">G82-$G$82</f>
        <v>#REF!</v>
      </c>
      <c r="H88" s="143" t="e">
        <f t="shared" si="21"/>
        <v>#REF!</v>
      </c>
      <c r="I88" s="143" t="e">
        <f t="shared" si="21"/>
        <v>#REF!</v>
      </c>
      <c r="J88" s="143" t="e">
        <f t="shared" si="21"/>
        <v>#REF!</v>
      </c>
      <c r="K88" s="143" t="e">
        <f t="shared" si="21"/>
        <v>#REF!</v>
      </c>
      <c r="L88" s="143" t="e">
        <f t="shared" si="21"/>
        <v>#REF!</v>
      </c>
      <c r="M88" s="143" t="e">
        <f t="shared" si="21"/>
        <v>#REF!</v>
      </c>
      <c r="N88" s="143" t="e">
        <f t="shared" si="21"/>
        <v>#REF!</v>
      </c>
      <c r="O88" s="143" t="e">
        <f t="shared" si="21"/>
        <v>#REF!</v>
      </c>
      <c r="P88" s="143" t="e">
        <f t="shared" si="21"/>
        <v>#REF!</v>
      </c>
      <c r="Q88" s="143" t="e">
        <f t="shared" si="21"/>
        <v>#REF!</v>
      </c>
      <c r="R88" s="134"/>
      <c r="S88" s="134"/>
    </row>
    <row r="89" spans="1:19" ht="216.75" customHeight="1" thickBot="1">
      <c r="A89" s="138" t="s">
        <v>273</v>
      </c>
      <c r="B89" s="134" t="s">
        <v>278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</row>
    <row r="90" spans="1:19" ht="30.75" thickBot="1">
      <c r="A90" s="138" t="s">
        <v>279</v>
      </c>
      <c r="B90" s="134" t="s">
        <v>148</v>
      </c>
      <c r="C90" s="134" t="s">
        <v>102</v>
      </c>
      <c r="D90" s="134" t="s">
        <v>280</v>
      </c>
      <c r="E90" s="134">
        <v>0</v>
      </c>
      <c r="F90" s="142">
        <v>0</v>
      </c>
      <c r="G90" s="142" t="e">
        <f>H82/H81-G82/G81</f>
        <v>#REF!</v>
      </c>
      <c r="H90" s="142" t="e">
        <f aca="true" t="shared" si="22" ref="H90:P90">I82/I81-H82/H81</f>
        <v>#REF!</v>
      </c>
      <c r="I90" s="142" t="e">
        <f t="shared" si="22"/>
        <v>#REF!</v>
      </c>
      <c r="J90" s="142" t="e">
        <f t="shared" si="22"/>
        <v>#REF!</v>
      </c>
      <c r="K90" s="142" t="e">
        <f t="shared" si="22"/>
        <v>#REF!</v>
      </c>
      <c r="L90" s="142" t="e">
        <f t="shared" si="22"/>
        <v>#REF!</v>
      </c>
      <c r="M90" s="142" t="e">
        <f t="shared" si="22"/>
        <v>#REF!</v>
      </c>
      <c r="N90" s="142" t="e">
        <f t="shared" si="22"/>
        <v>#REF!</v>
      </c>
      <c r="O90" s="142" t="e">
        <f t="shared" si="22"/>
        <v>#REF!</v>
      </c>
      <c r="P90" s="142" t="e">
        <f t="shared" si="22"/>
        <v>#REF!</v>
      </c>
      <c r="Q90" s="142">
        <v>0</v>
      </c>
      <c r="R90" s="134"/>
      <c r="S90" s="134"/>
    </row>
    <row r="91" spans="1:19" ht="30.75" thickBot="1">
      <c r="A91" s="138" t="s">
        <v>281</v>
      </c>
      <c r="B91" s="134" t="s">
        <v>152</v>
      </c>
      <c r="C91" s="134" t="s">
        <v>102</v>
      </c>
      <c r="D91" s="134" t="s">
        <v>282</v>
      </c>
      <c r="E91" s="134">
        <v>0</v>
      </c>
      <c r="F91" s="142">
        <v>0</v>
      </c>
      <c r="G91" s="142" t="e">
        <f>G82/G81-$G$82/$G$81</f>
        <v>#REF!</v>
      </c>
      <c r="H91" s="142" t="e">
        <f aca="true" t="shared" si="23" ref="H91:Q91">H82/H81-$G$82/$G$81</f>
        <v>#REF!</v>
      </c>
      <c r="I91" s="142" t="e">
        <f t="shared" si="23"/>
        <v>#REF!</v>
      </c>
      <c r="J91" s="142" t="e">
        <f t="shared" si="23"/>
        <v>#REF!</v>
      </c>
      <c r="K91" s="142" t="e">
        <f t="shared" si="23"/>
        <v>#REF!</v>
      </c>
      <c r="L91" s="142" t="e">
        <f t="shared" si="23"/>
        <v>#REF!</v>
      </c>
      <c r="M91" s="142" t="e">
        <f t="shared" si="23"/>
        <v>#REF!</v>
      </c>
      <c r="N91" s="142" t="e">
        <f t="shared" si="23"/>
        <v>#REF!</v>
      </c>
      <c r="O91" s="142" t="e">
        <f t="shared" si="23"/>
        <v>#REF!</v>
      </c>
      <c r="P91" s="142" t="e">
        <f t="shared" si="23"/>
        <v>#REF!</v>
      </c>
      <c r="Q91" s="142" t="e">
        <f t="shared" si="23"/>
        <v>#REF!</v>
      </c>
      <c r="R91" s="134"/>
      <c r="S91" s="134"/>
    </row>
    <row r="92" spans="1:19" ht="177.75" customHeight="1" thickBot="1">
      <c r="A92" s="138" t="s">
        <v>283</v>
      </c>
      <c r="B92" s="134" t="s">
        <v>284</v>
      </c>
      <c r="C92" s="134" t="s">
        <v>285</v>
      </c>
      <c r="D92" s="134" t="s">
        <v>286</v>
      </c>
      <c r="E92" s="183" t="e">
        <f>(#REF!+#REF!)/#REF!</f>
        <v>#REF!</v>
      </c>
      <c r="F92" s="183" t="e">
        <f>(#REF!+#REF!)/#REF!</f>
        <v>#REF!</v>
      </c>
      <c r="G92" s="183" t="e">
        <f>(#REF!+#REF!)/#REF!</f>
        <v>#REF!</v>
      </c>
      <c r="H92" s="183" t="e">
        <f>(#REF!+#REF!)/#REF!</f>
        <v>#REF!</v>
      </c>
      <c r="I92" s="183" t="e">
        <f>(#REF!+#REF!)/#REF!</f>
        <v>#REF!</v>
      </c>
      <c r="J92" s="183" t="e">
        <f>(#REF!+#REF!)/#REF!</f>
        <v>#REF!</v>
      </c>
      <c r="K92" s="142" t="e">
        <f>(#REF!+#REF!)/#REF!</f>
        <v>#REF!</v>
      </c>
      <c r="L92" s="142" t="e">
        <f>(#REF!+#REF!)/#REF!</f>
        <v>#REF!</v>
      </c>
      <c r="M92" s="142" t="e">
        <f>(#REF!+#REF!)/#REF!</f>
        <v>#REF!</v>
      </c>
      <c r="N92" s="142" t="e">
        <f>(#REF!+#REF!)/#REF!</f>
        <v>#REF!</v>
      </c>
      <c r="O92" s="142" t="e">
        <f>(#REF!+#REF!)/#REF!</f>
        <v>#REF!</v>
      </c>
      <c r="P92" s="142" t="e">
        <f>(#REF!+#REF!)/#REF!</f>
        <v>#REF!</v>
      </c>
      <c r="Q92" s="142" t="e">
        <f>(#REF!+#REF!)/#REF!</f>
        <v>#REF!</v>
      </c>
      <c r="R92" s="134"/>
      <c r="S92" s="134"/>
    </row>
    <row r="93" spans="1:19" ht="135.75" customHeight="1" thickBot="1">
      <c r="A93" s="138" t="s">
        <v>287</v>
      </c>
      <c r="B93" s="134" t="s">
        <v>288</v>
      </c>
      <c r="C93" s="134" t="s">
        <v>285</v>
      </c>
      <c r="D93" s="134" t="s">
        <v>289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/>
      <c r="S93" s="134"/>
    </row>
    <row r="94" spans="1:19" ht="210" customHeight="1" thickBot="1">
      <c r="A94" s="138" t="s">
        <v>290</v>
      </c>
      <c r="B94" s="134" t="s">
        <v>291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</row>
    <row r="95" spans="1:19" ht="48.75" customHeight="1" thickBot="1">
      <c r="A95" s="138" t="s">
        <v>292</v>
      </c>
      <c r="B95" s="134" t="s">
        <v>148</v>
      </c>
      <c r="C95" s="134" t="s">
        <v>285</v>
      </c>
      <c r="D95" s="134" t="s">
        <v>293</v>
      </c>
      <c r="E95" s="142" t="e">
        <f>F92-E92</f>
        <v>#REF!</v>
      </c>
      <c r="F95" s="142" t="e">
        <f aca="true" t="shared" si="24" ref="F95:P95">G92-F92</f>
        <v>#REF!</v>
      </c>
      <c r="G95" s="142" t="e">
        <f t="shared" si="24"/>
        <v>#REF!</v>
      </c>
      <c r="H95" s="143" t="e">
        <f t="shared" si="24"/>
        <v>#REF!</v>
      </c>
      <c r="I95" s="142" t="e">
        <f t="shared" si="24"/>
        <v>#REF!</v>
      </c>
      <c r="J95" s="142" t="e">
        <f t="shared" si="24"/>
        <v>#REF!</v>
      </c>
      <c r="K95" s="142" t="e">
        <f t="shared" si="24"/>
        <v>#REF!</v>
      </c>
      <c r="L95" s="142" t="e">
        <f t="shared" si="24"/>
        <v>#REF!</v>
      </c>
      <c r="M95" s="142" t="e">
        <f t="shared" si="24"/>
        <v>#REF!</v>
      </c>
      <c r="N95" s="142" t="e">
        <f t="shared" si="24"/>
        <v>#REF!</v>
      </c>
      <c r="O95" s="142" t="e">
        <f t="shared" si="24"/>
        <v>#REF!</v>
      </c>
      <c r="P95" s="142" t="e">
        <f t="shared" si="24"/>
        <v>#REF!</v>
      </c>
      <c r="Q95" s="142">
        <v>-0.22239030686898786</v>
      </c>
      <c r="R95" s="134"/>
      <c r="S95" s="134" t="s">
        <v>150</v>
      </c>
    </row>
    <row r="96" spans="1:19" ht="30.75" thickBot="1">
      <c r="A96" s="138" t="s">
        <v>294</v>
      </c>
      <c r="B96" s="134" t="s">
        <v>152</v>
      </c>
      <c r="C96" s="134" t="s">
        <v>285</v>
      </c>
      <c r="D96" s="134" t="s">
        <v>295</v>
      </c>
      <c r="E96" s="141">
        <v>0</v>
      </c>
      <c r="F96" s="141">
        <v>0</v>
      </c>
      <c r="G96" s="141">
        <v>0</v>
      </c>
      <c r="H96" s="141" t="e">
        <f aca="true" t="shared" si="25" ref="H96:Q96">H92-$G$92</f>
        <v>#REF!</v>
      </c>
      <c r="I96" s="141" t="e">
        <f t="shared" si="25"/>
        <v>#REF!</v>
      </c>
      <c r="J96" s="141" t="e">
        <f t="shared" si="25"/>
        <v>#REF!</v>
      </c>
      <c r="K96" s="141" t="e">
        <f t="shared" si="25"/>
        <v>#REF!</v>
      </c>
      <c r="L96" s="141" t="e">
        <f t="shared" si="25"/>
        <v>#REF!</v>
      </c>
      <c r="M96" s="141" t="e">
        <f t="shared" si="25"/>
        <v>#REF!</v>
      </c>
      <c r="N96" s="141" t="e">
        <f t="shared" si="25"/>
        <v>#REF!</v>
      </c>
      <c r="O96" s="141" t="e">
        <f t="shared" si="25"/>
        <v>#REF!</v>
      </c>
      <c r="P96" s="141" t="e">
        <f t="shared" si="25"/>
        <v>#REF!</v>
      </c>
      <c r="Q96" s="141" t="e">
        <f t="shared" si="25"/>
        <v>#REF!</v>
      </c>
      <c r="R96" s="134"/>
      <c r="S96" s="134"/>
    </row>
    <row r="97" spans="1:19" ht="144" customHeight="1" thickBot="1">
      <c r="A97" s="138" t="s">
        <v>296</v>
      </c>
      <c r="B97" s="134" t="s">
        <v>297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 t="s">
        <v>150</v>
      </c>
    </row>
    <row r="98" spans="1:19" ht="15.75" thickBot="1">
      <c r="A98" s="138" t="s">
        <v>298</v>
      </c>
      <c r="B98" s="134" t="s">
        <v>148</v>
      </c>
      <c r="C98" s="134" t="s">
        <v>285</v>
      </c>
      <c r="D98" s="134" t="s">
        <v>299</v>
      </c>
      <c r="E98" s="141">
        <f>F93-E93</f>
        <v>0</v>
      </c>
      <c r="F98" s="141">
        <f>G93-F93</f>
        <v>0</v>
      </c>
      <c r="G98" s="141">
        <f>H93-G93</f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34"/>
    </row>
    <row r="99" spans="1:19" ht="30.75" thickBot="1">
      <c r="A99" s="138" t="s">
        <v>300</v>
      </c>
      <c r="B99" s="134" t="s">
        <v>152</v>
      </c>
      <c r="C99" s="134" t="s">
        <v>285</v>
      </c>
      <c r="D99" s="134" t="s">
        <v>301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34"/>
    </row>
    <row r="100" spans="1:19" ht="221.25" customHeight="1" thickBot="1">
      <c r="A100" s="138" t="s">
        <v>302</v>
      </c>
      <c r="B100" s="134" t="s">
        <v>303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</row>
    <row r="101" spans="1:19" ht="37.5" customHeight="1" thickBot="1">
      <c r="A101" s="138" t="s">
        <v>304</v>
      </c>
      <c r="B101" s="134" t="s">
        <v>148</v>
      </c>
      <c r="C101" s="134" t="s">
        <v>102</v>
      </c>
      <c r="D101" s="134" t="s">
        <v>305</v>
      </c>
      <c r="E101" s="141" t="e">
        <f>(F93/F92)-(E93/E92)</f>
        <v>#REF!</v>
      </c>
      <c r="F101" s="141" t="e">
        <f aca="true" t="shared" si="26" ref="F101:P101">(G93/G92)-(F93/F92)</f>
        <v>#REF!</v>
      </c>
      <c r="G101" s="141" t="e">
        <f t="shared" si="26"/>
        <v>#REF!</v>
      </c>
      <c r="H101" s="141" t="e">
        <f t="shared" si="26"/>
        <v>#REF!</v>
      </c>
      <c r="I101" s="141" t="e">
        <f t="shared" si="26"/>
        <v>#REF!</v>
      </c>
      <c r="J101" s="141" t="e">
        <f t="shared" si="26"/>
        <v>#REF!</v>
      </c>
      <c r="K101" s="141" t="e">
        <f t="shared" si="26"/>
        <v>#REF!</v>
      </c>
      <c r="L101" s="141" t="e">
        <f t="shared" si="26"/>
        <v>#REF!</v>
      </c>
      <c r="M101" s="141" t="e">
        <f t="shared" si="26"/>
        <v>#REF!</v>
      </c>
      <c r="N101" s="141" t="e">
        <f t="shared" si="26"/>
        <v>#REF!</v>
      </c>
      <c r="O101" s="141" t="e">
        <f t="shared" si="26"/>
        <v>#REF!</v>
      </c>
      <c r="P101" s="141" t="e">
        <f t="shared" si="26"/>
        <v>#REF!</v>
      </c>
      <c r="Q101" s="141">
        <v>0</v>
      </c>
      <c r="R101" s="134"/>
      <c r="S101" s="134"/>
    </row>
    <row r="102" spans="1:19" ht="30.75" thickBot="1">
      <c r="A102" s="138" t="s">
        <v>306</v>
      </c>
      <c r="B102" s="134" t="s">
        <v>152</v>
      </c>
      <c r="C102" s="134" t="s">
        <v>102</v>
      </c>
      <c r="D102" s="134" t="s">
        <v>307</v>
      </c>
      <c r="E102" s="141" t="e">
        <f>E93/E92-$G$93/$G$92</f>
        <v>#REF!</v>
      </c>
      <c r="F102" s="141" t="e">
        <f aca="true" t="shared" si="27" ref="F102:Q102">F93/F92-$G$93/$G$92</f>
        <v>#REF!</v>
      </c>
      <c r="G102" s="141" t="e">
        <f t="shared" si="27"/>
        <v>#REF!</v>
      </c>
      <c r="H102" s="141" t="e">
        <f t="shared" si="27"/>
        <v>#REF!</v>
      </c>
      <c r="I102" s="141" t="e">
        <f t="shared" si="27"/>
        <v>#REF!</v>
      </c>
      <c r="J102" s="141" t="e">
        <f t="shared" si="27"/>
        <v>#REF!</v>
      </c>
      <c r="K102" s="141" t="e">
        <f t="shared" si="27"/>
        <v>#REF!</v>
      </c>
      <c r="L102" s="141" t="e">
        <f t="shared" si="27"/>
        <v>#REF!</v>
      </c>
      <c r="M102" s="141" t="e">
        <f t="shared" si="27"/>
        <v>#REF!</v>
      </c>
      <c r="N102" s="141" t="e">
        <f t="shared" si="27"/>
        <v>#REF!</v>
      </c>
      <c r="O102" s="141" t="e">
        <f t="shared" si="27"/>
        <v>#REF!</v>
      </c>
      <c r="P102" s="141" t="e">
        <f t="shared" si="27"/>
        <v>#REF!</v>
      </c>
      <c r="Q102" s="141" t="e">
        <f t="shared" si="27"/>
        <v>#REF!</v>
      </c>
      <c r="R102" s="134"/>
      <c r="S102" s="134"/>
    </row>
    <row r="103" spans="1:19" ht="204" customHeight="1" thickBot="1">
      <c r="A103" s="138" t="s">
        <v>308</v>
      </c>
      <c r="B103" s="134" t="s">
        <v>309</v>
      </c>
      <c r="C103" s="134" t="s">
        <v>310</v>
      </c>
      <c r="D103" s="134" t="s">
        <v>311</v>
      </c>
      <c r="E103" s="194" t="e">
        <f>(#REF!+#REF!)/#REF!</f>
        <v>#REF!</v>
      </c>
      <c r="F103" s="194" t="e">
        <f>(#REF!+#REF!)/#REF!</f>
        <v>#REF!</v>
      </c>
      <c r="G103" s="194" t="e">
        <f>(#REF!+#REF!)/#REF!</f>
        <v>#REF!</v>
      </c>
      <c r="H103" s="194" t="e">
        <f>(#REF!+#REF!)/#REF!</f>
        <v>#REF!</v>
      </c>
      <c r="I103" s="194" t="e">
        <f>(#REF!+#REF!)/#REF!</f>
        <v>#REF!</v>
      </c>
      <c r="J103" s="194" t="e">
        <f>(#REF!+#REF!)/#REF!</f>
        <v>#REF!</v>
      </c>
      <c r="K103" s="143" t="e">
        <f>(#REF!+#REF!)/#REF!</f>
        <v>#REF!</v>
      </c>
      <c r="L103" s="143" t="e">
        <f>(#REF!+#REF!)/#REF!</f>
        <v>#REF!</v>
      </c>
      <c r="M103" s="143" t="e">
        <f>(#REF!+#REF!)/#REF!</f>
        <v>#REF!</v>
      </c>
      <c r="N103" s="143" t="e">
        <f>(#REF!+#REF!)/#REF!</f>
        <v>#REF!</v>
      </c>
      <c r="O103" s="143" t="e">
        <f>(#REF!+#REF!)/#REF!</f>
        <v>#REF!</v>
      </c>
      <c r="P103" s="143" t="e">
        <f>(#REF!+#REF!)/#REF!</f>
        <v>#REF!</v>
      </c>
      <c r="Q103" s="143" t="e">
        <f>(#REF!+#REF!)/#REF!</f>
        <v>#REF!</v>
      </c>
      <c r="R103" s="134"/>
      <c r="S103" s="134"/>
    </row>
    <row r="104" spans="1:19" ht="143.25" customHeight="1" thickBot="1">
      <c r="A104" s="138" t="s">
        <v>312</v>
      </c>
      <c r="B104" s="134" t="s">
        <v>313</v>
      </c>
      <c r="C104" s="134" t="s">
        <v>310</v>
      </c>
      <c r="D104" s="134" t="s">
        <v>314</v>
      </c>
      <c r="E104" s="194" t="e">
        <f>((#REF!-#REF!)+(#REF!-#REF!))/#REF!</f>
        <v>#REF!</v>
      </c>
      <c r="F104" s="194" t="e">
        <f>((#REF!-#REF!)+(#REF!-#REF!))/#REF!</f>
        <v>#REF!</v>
      </c>
      <c r="G104" s="194" t="e">
        <f>((#REF!-#REF!)+(#REF!-#REF!))/#REF!</f>
        <v>#REF!</v>
      </c>
      <c r="H104" s="194" t="e">
        <f>((#REF!-#REF!)+(#REF!-#REF!))/#REF!</f>
        <v>#REF!</v>
      </c>
      <c r="I104" s="194" t="e">
        <f>((#REF!-#REF!)+(#REF!-#REF!))/#REF!</f>
        <v>#REF!</v>
      </c>
      <c r="J104" s="194" t="e">
        <f>((#REF!-#REF!)+(#REF!-#REF!))/#REF!</f>
        <v>#REF!</v>
      </c>
      <c r="K104" s="194">
        <v>0</v>
      </c>
      <c r="L104" s="194">
        <v>0</v>
      </c>
      <c r="M104" s="194">
        <v>0</v>
      </c>
      <c r="N104" s="194">
        <v>0</v>
      </c>
      <c r="O104" s="194">
        <v>0</v>
      </c>
      <c r="P104" s="194">
        <v>0</v>
      </c>
      <c r="Q104" s="194">
        <v>0</v>
      </c>
      <c r="R104" s="134"/>
      <c r="S104" s="134"/>
    </row>
    <row r="105" spans="1:19" ht="183.75" customHeight="1" thickBot="1">
      <c r="A105" s="138" t="s">
        <v>315</v>
      </c>
      <c r="B105" s="134" t="s">
        <v>317</v>
      </c>
      <c r="C105" s="134"/>
      <c r="D105" s="134"/>
      <c r="E105" s="134"/>
      <c r="F105" s="134"/>
      <c r="G105" s="134"/>
      <c r="H105" s="134"/>
      <c r="I105" s="143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</row>
    <row r="106" spans="1:19" ht="75.75" thickBot="1">
      <c r="A106" s="138" t="s">
        <v>318</v>
      </c>
      <c r="B106" s="134" t="s">
        <v>148</v>
      </c>
      <c r="C106" s="134" t="s">
        <v>310</v>
      </c>
      <c r="D106" s="134" t="s">
        <v>319</v>
      </c>
      <c r="E106" s="143" t="e">
        <f>F103-E103</f>
        <v>#REF!</v>
      </c>
      <c r="F106" s="143" t="e">
        <f>G103-F103</f>
        <v>#REF!</v>
      </c>
      <c r="G106" s="195" t="e">
        <f aca="true" t="shared" si="28" ref="G106:Q106">H103-G103</f>
        <v>#REF!</v>
      </c>
      <c r="H106" s="143" t="e">
        <f t="shared" si="28"/>
        <v>#REF!</v>
      </c>
      <c r="I106" s="143" t="e">
        <f t="shared" si="28"/>
        <v>#REF!</v>
      </c>
      <c r="J106" s="143" t="e">
        <f t="shared" si="28"/>
        <v>#REF!</v>
      </c>
      <c r="K106" s="143" t="e">
        <f t="shared" si="28"/>
        <v>#REF!</v>
      </c>
      <c r="L106" s="143" t="e">
        <f t="shared" si="28"/>
        <v>#REF!</v>
      </c>
      <c r="M106" s="143" t="e">
        <f t="shared" si="28"/>
        <v>#REF!</v>
      </c>
      <c r="N106" s="143" t="e">
        <f t="shared" si="28"/>
        <v>#REF!</v>
      </c>
      <c r="O106" s="143" t="e">
        <f t="shared" si="28"/>
        <v>#REF!</v>
      </c>
      <c r="P106" s="143" t="e">
        <f t="shared" si="28"/>
        <v>#REF!</v>
      </c>
      <c r="Q106" s="143" t="e">
        <f t="shared" si="28"/>
        <v>#REF!</v>
      </c>
      <c r="R106" s="134"/>
      <c r="S106" s="134" t="s">
        <v>150</v>
      </c>
    </row>
    <row r="107" spans="1:19" ht="30.75" thickBot="1">
      <c r="A107" s="138" t="s">
        <v>320</v>
      </c>
      <c r="B107" s="134" t="s">
        <v>152</v>
      </c>
      <c r="C107" s="134" t="s">
        <v>310</v>
      </c>
      <c r="D107" s="134" t="s">
        <v>321</v>
      </c>
      <c r="E107" s="143" t="e">
        <f>E103-$G$103</f>
        <v>#REF!</v>
      </c>
      <c r="F107" s="143" t="e">
        <f>F103-$G$103</f>
        <v>#REF!</v>
      </c>
      <c r="G107" s="143" t="e">
        <f aca="true" t="shared" si="29" ref="G107:Q107">G103-$G$103</f>
        <v>#REF!</v>
      </c>
      <c r="H107" s="195" t="e">
        <f t="shared" si="29"/>
        <v>#REF!</v>
      </c>
      <c r="I107" s="195" t="e">
        <f t="shared" si="29"/>
        <v>#REF!</v>
      </c>
      <c r="J107" s="143" t="e">
        <f t="shared" si="29"/>
        <v>#REF!</v>
      </c>
      <c r="K107" s="134" t="e">
        <f t="shared" si="29"/>
        <v>#REF!</v>
      </c>
      <c r="L107" s="134" t="e">
        <f t="shared" si="29"/>
        <v>#REF!</v>
      </c>
      <c r="M107" s="134" t="e">
        <f t="shared" si="29"/>
        <v>#REF!</v>
      </c>
      <c r="N107" s="134" t="e">
        <f t="shared" si="29"/>
        <v>#REF!</v>
      </c>
      <c r="O107" s="134" t="e">
        <f t="shared" si="29"/>
        <v>#REF!</v>
      </c>
      <c r="P107" s="134" t="e">
        <f t="shared" si="29"/>
        <v>#REF!</v>
      </c>
      <c r="Q107" s="134" t="e">
        <f t="shared" si="29"/>
        <v>#REF!</v>
      </c>
      <c r="R107" s="134"/>
      <c r="S107" s="134"/>
    </row>
    <row r="108" spans="1:19" ht="159.75" customHeight="1" thickBot="1">
      <c r="A108" s="138" t="s">
        <v>322</v>
      </c>
      <c r="B108" s="134" t="s">
        <v>328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</row>
    <row r="109" spans="1:19" ht="78" customHeight="1" thickBot="1">
      <c r="A109" s="138" t="s">
        <v>329</v>
      </c>
      <c r="B109" s="134" t="s">
        <v>148</v>
      </c>
      <c r="C109" s="134" t="s">
        <v>310</v>
      </c>
      <c r="D109" s="134" t="s">
        <v>330</v>
      </c>
      <c r="E109" s="143" t="e">
        <f>F104-E104</f>
        <v>#REF!</v>
      </c>
      <c r="F109" s="143" t="e">
        <f aca="true" t="shared" si="30" ref="F109:Q109">G104-F104</f>
        <v>#REF!</v>
      </c>
      <c r="G109" s="143" t="e">
        <f t="shared" si="30"/>
        <v>#REF!</v>
      </c>
      <c r="H109" s="143" t="e">
        <f t="shared" si="30"/>
        <v>#REF!</v>
      </c>
      <c r="I109" s="143" t="e">
        <f t="shared" si="30"/>
        <v>#REF!</v>
      </c>
      <c r="J109" s="143" t="e">
        <f t="shared" si="30"/>
        <v>#REF!</v>
      </c>
      <c r="K109" s="143">
        <f t="shared" si="30"/>
        <v>0</v>
      </c>
      <c r="L109" s="143">
        <f t="shared" si="30"/>
        <v>0</v>
      </c>
      <c r="M109" s="143">
        <f t="shared" si="30"/>
        <v>0</v>
      </c>
      <c r="N109" s="143">
        <f t="shared" si="30"/>
        <v>0</v>
      </c>
      <c r="O109" s="143">
        <f t="shared" si="30"/>
        <v>0</v>
      </c>
      <c r="P109" s="143">
        <f t="shared" si="30"/>
        <v>0</v>
      </c>
      <c r="Q109" s="143">
        <f t="shared" si="30"/>
        <v>0</v>
      </c>
      <c r="R109" s="134"/>
      <c r="S109" s="134" t="s">
        <v>150</v>
      </c>
    </row>
    <row r="110" spans="1:19" ht="54.75" customHeight="1" thickBot="1">
      <c r="A110" s="138" t="s">
        <v>331</v>
      </c>
      <c r="B110" s="134" t="s">
        <v>152</v>
      </c>
      <c r="C110" s="134" t="s">
        <v>310</v>
      </c>
      <c r="D110" s="134" t="s">
        <v>332</v>
      </c>
      <c r="E110" s="143" t="e">
        <f>E104-$G$104</f>
        <v>#REF!</v>
      </c>
      <c r="F110" s="143" t="e">
        <f>F104-$G$104</f>
        <v>#REF!</v>
      </c>
      <c r="G110" s="143" t="e">
        <f aca="true" t="shared" si="31" ref="G110:Q110">G104-$G$104</f>
        <v>#REF!</v>
      </c>
      <c r="H110" s="143" t="e">
        <f t="shared" si="31"/>
        <v>#REF!</v>
      </c>
      <c r="I110" s="143" t="e">
        <f t="shared" si="31"/>
        <v>#REF!</v>
      </c>
      <c r="J110" s="143" t="e">
        <f t="shared" si="31"/>
        <v>#REF!</v>
      </c>
      <c r="K110" s="143" t="e">
        <f t="shared" si="31"/>
        <v>#REF!</v>
      </c>
      <c r="L110" s="143" t="e">
        <f t="shared" si="31"/>
        <v>#REF!</v>
      </c>
      <c r="M110" s="143" t="e">
        <f t="shared" si="31"/>
        <v>#REF!</v>
      </c>
      <c r="N110" s="143" t="e">
        <f t="shared" si="31"/>
        <v>#REF!</v>
      </c>
      <c r="O110" s="143" t="e">
        <f t="shared" si="31"/>
        <v>#REF!</v>
      </c>
      <c r="P110" s="143" t="e">
        <f t="shared" si="31"/>
        <v>#REF!</v>
      </c>
      <c r="Q110" s="143" t="e">
        <f t="shared" si="31"/>
        <v>#REF!</v>
      </c>
      <c r="R110" s="134"/>
      <c r="S110" s="134"/>
    </row>
    <row r="111" spans="1:19" ht="219" customHeight="1" thickBot="1">
      <c r="A111" s="138" t="s">
        <v>333</v>
      </c>
      <c r="B111" s="134" t="s">
        <v>334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1:19" ht="30.75" thickBot="1">
      <c r="A112" s="138" t="s">
        <v>335</v>
      </c>
      <c r="B112" s="134" t="s">
        <v>148</v>
      </c>
      <c r="C112" s="134" t="s">
        <v>102</v>
      </c>
      <c r="D112" s="134" t="s">
        <v>336</v>
      </c>
      <c r="E112" s="143" t="e">
        <f>F104/F103-E104/E103</f>
        <v>#REF!</v>
      </c>
      <c r="F112" s="143" t="e">
        <f aca="true" t="shared" si="32" ref="F112:P112">G104/G103-F104/F103</f>
        <v>#REF!</v>
      </c>
      <c r="G112" s="143" t="e">
        <f t="shared" si="32"/>
        <v>#REF!</v>
      </c>
      <c r="H112" s="143" t="e">
        <f t="shared" si="32"/>
        <v>#REF!</v>
      </c>
      <c r="I112" s="143" t="e">
        <f t="shared" si="32"/>
        <v>#REF!</v>
      </c>
      <c r="J112" s="143" t="e">
        <f t="shared" si="32"/>
        <v>#REF!</v>
      </c>
      <c r="K112" s="143" t="e">
        <f t="shared" si="32"/>
        <v>#REF!</v>
      </c>
      <c r="L112" s="143" t="e">
        <f t="shared" si="32"/>
        <v>#REF!</v>
      </c>
      <c r="M112" s="143" t="e">
        <f t="shared" si="32"/>
        <v>#REF!</v>
      </c>
      <c r="N112" s="143" t="e">
        <f t="shared" si="32"/>
        <v>#REF!</v>
      </c>
      <c r="O112" s="143" t="e">
        <f t="shared" si="32"/>
        <v>#REF!</v>
      </c>
      <c r="P112" s="143" t="e">
        <f t="shared" si="32"/>
        <v>#REF!</v>
      </c>
      <c r="Q112" s="143">
        <v>0</v>
      </c>
      <c r="R112" s="134"/>
      <c r="S112" s="134"/>
    </row>
    <row r="113" spans="1:19" ht="30.75" thickBot="1">
      <c r="A113" s="138" t="s">
        <v>337</v>
      </c>
      <c r="B113" s="134" t="s">
        <v>152</v>
      </c>
      <c r="C113" s="134" t="s">
        <v>102</v>
      </c>
      <c r="D113" s="134" t="s">
        <v>338</v>
      </c>
      <c r="E113" s="143" t="e">
        <f>E104/E103-$G$104/$G$103</f>
        <v>#REF!</v>
      </c>
      <c r="F113" s="143" t="e">
        <f aca="true" t="shared" si="33" ref="F113:Q113">F104/F103-$G$104/$G$103</f>
        <v>#REF!</v>
      </c>
      <c r="G113" s="143" t="e">
        <f t="shared" si="33"/>
        <v>#REF!</v>
      </c>
      <c r="H113" s="143" t="e">
        <f t="shared" si="33"/>
        <v>#REF!</v>
      </c>
      <c r="I113" s="143" t="e">
        <f t="shared" si="33"/>
        <v>#REF!</v>
      </c>
      <c r="J113" s="143" t="e">
        <f t="shared" si="33"/>
        <v>#REF!</v>
      </c>
      <c r="K113" s="143" t="e">
        <f t="shared" si="33"/>
        <v>#REF!</v>
      </c>
      <c r="L113" s="143" t="e">
        <f t="shared" si="33"/>
        <v>#REF!</v>
      </c>
      <c r="M113" s="143" t="e">
        <f t="shared" si="33"/>
        <v>#REF!</v>
      </c>
      <c r="N113" s="143" t="e">
        <f t="shared" si="33"/>
        <v>#REF!</v>
      </c>
      <c r="O113" s="143" t="e">
        <f t="shared" si="33"/>
        <v>#REF!</v>
      </c>
      <c r="P113" s="143" t="e">
        <f t="shared" si="33"/>
        <v>#REF!</v>
      </c>
      <c r="Q113" s="143" t="e">
        <f t="shared" si="33"/>
        <v>#REF!</v>
      </c>
      <c r="R113" s="134"/>
      <c r="S113" s="134"/>
    </row>
    <row r="114" spans="1:19" ht="47.25" customHeight="1" thickBot="1">
      <c r="A114" s="516" t="s">
        <v>339</v>
      </c>
      <c r="B114" s="517"/>
      <c r="C114" s="517"/>
      <c r="D114" s="517"/>
      <c r="E114" s="517"/>
      <c r="F114" s="517"/>
      <c r="G114" s="517"/>
      <c r="H114" s="517"/>
      <c r="I114" s="517"/>
      <c r="J114" s="517"/>
      <c r="K114" s="517"/>
      <c r="L114" s="517"/>
      <c r="M114" s="517"/>
      <c r="N114" s="517"/>
      <c r="O114" s="517"/>
      <c r="P114" s="517"/>
      <c r="Q114" s="517"/>
      <c r="R114" s="517"/>
      <c r="S114" s="518"/>
    </row>
    <row r="115" spans="1:19" ht="67.5" customHeight="1" thickBot="1">
      <c r="A115" s="138" t="s">
        <v>340</v>
      </c>
      <c r="B115" s="134" t="s">
        <v>341</v>
      </c>
      <c r="C115" s="134" t="s">
        <v>342</v>
      </c>
      <c r="D115" s="134" t="s">
        <v>343</v>
      </c>
      <c r="E115" s="148" t="e">
        <f>#REF!-#REF!</f>
        <v>#REF!</v>
      </c>
      <c r="F115" s="148" t="e">
        <f>#REF!-#REF!</f>
        <v>#REF!</v>
      </c>
      <c r="G115" s="148" t="e">
        <f>#REF!-#REF!</f>
        <v>#REF!</v>
      </c>
      <c r="H115" s="148" t="e">
        <f>#REF!-#REF!</f>
        <v>#REF!</v>
      </c>
      <c r="I115" s="148" t="e">
        <f>#REF!-#REF!</f>
        <v>#REF!</v>
      </c>
      <c r="J115" s="148" t="e">
        <f>#REF!-#REF!</f>
        <v>#REF!</v>
      </c>
      <c r="K115" s="148" t="e">
        <f>#REF!-#REF!</f>
        <v>#REF!</v>
      </c>
      <c r="L115" s="148" t="e">
        <f>#REF!-#REF!</f>
        <v>#REF!</v>
      </c>
      <c r="M115" s="148" t="e">
        <f>#REF!-#REF!</f>
        <v>#REF!</v>
      </c>
      <c r="N115" s="148" t="e">
        <f>#REF!-#REF!</f>
        <v>#REF!</v>
      </c>
      <c r="O115" s="148" t="e">
        <f>#REF!-#REF!</f>
        <v>#REF!</v>
      </c>
      <c r="P115" s="148" t="e">
        <f>#REF!-#REF!</f>
        <v>#REF!</v>
      </c>
      <c r="Q115" s="148" t="e">
        <f>#REF!-#REF!</f>
        <v>#REF!</v>
      </c>
      <c r="R115" s="148"/>
      <c r="S115" s="519" t="s">
        <v>344</v>
      </c>
    </row>
    <row r="116" spans="1:19" ht="39" customHeight="1" thickBot="1">
      <c r="A116" s="138" t="s">
        <v>345</v>
      </c>
      <c r="B116" s="134" t="s">
        <v>346</v>
      </c>
      <c r="C116" s="134" t="s">
        <v>347</v>
      </c>
      <c r="D116" s="134" t="s">
        <v>348</v>
      </c>
      <c r="E116" s="148" t="e">
        <f>#REF!-#REF!</f>
        <v>#REF!</v>
      </c>
      <c r="F116" s="148" t="e">
        <f>#REF!-#REF!</f>
        <v>#REF!</v>
      </c>
      <c r="G116" s="148" t="e">
        <f>#REF!-#REF!</f>
        <v>#REF!</v>
      </c>
      <c r="H116" s="148" t="e">
        <f>#REF!-#REF!</f>
        <v>#REF!</v>
      </c>
      <c r="I116" s="148" t="e">
        <f>#REF!-#REF!</f>
        <v>#REF!</v>
      </c>
      <c r="J116" s="148" t="e">
        <f>#REF!-#REF!</f>
        <v>#REF!</v>
      </c>
      <c r="K116" s="148" t="e">
        <f>#REF!-#REF!</f>
        <v>#REF!</v>
      </c>
      <c r="L116" s="148" t="e">
        <f>#REF!-#REF!</f>
        <v>#REF!</v>
      </c>
      <c r="M116" s="148" t="e">
        <f>#REF!-#REF!</f>
        <v>#REF!</v>
      </c>
      <c r="N116" s="148" t="e">
        <f>#REF!-#REF!</f>
        <v>#REF!</v>
      </c>
      <c r="O116" s="148" t="e">
        <f>#REF!-#REF!</f>
        <v>#REF!</v>
      </c>
      <c r="P116" s="148" t="e">
        <f>#REF!-#REF!</f>
        <v>#REF!</v>
      </c>
      <c r="Q116" s="148" t="e">
        <f>#REF!-#REF!</f>
        <v>#REF!</v>
      </c>
      <c r="R116" s="148"/>
      <c r="S116" s="521"/>
    </row>
    <row r="117" spans="1:19" ht="90.75" thickBot="1">
      <c r="A117" s="138" t="s">
        <v>349</v>
      </c>
      <c r="B117" s="134" t="s">
        <v>350</v>
      </c>
      <c r="C117" s="134" t="s">
        <v>14</v>
      </c>
      <c r="D117" s="134" t="s">
        <v>351</v>
      </c>
      <c r="E117" s="149" t="e">
        <f>(#REF!/#REF!)*100</f>
        <v>#REF!</v>
      </c>
      <c r="F117" s="148" t="e">
        <f>(#REF!/#REF!)*100</f>
        <v>#REF!</v>
      </c>
      <c r="G117" s="148" t="e">
        <f>(#REF!/#REF!)*100</f>
        <v>#REF!</v>
      </c>
      <c r="H117" s="148" t="e">
        <f>(#REF!/#REF!)*100</f>
        <v>#REF!</v>
      </c>
      <c r="I117" s="149" t="e">
        <f>(#REF!/#REF!)*100</f>
        <v>#REF!</v>
      </c>
      <c r="J117" s="149" t="e">
        <f>(#REF!/#REF!)*100</f>
        <v>#REF!</v>
      </c>
      <c r="K117" s="149" t="e">
        <f>(#REF!/#REF!)*100</f>
        <v>#REF!</v>
      </c>
      <c r="L117" s="149" t="e">
        <f>(#REF!/#REF!)*100</f>
        <v>#REF!</v>
      </c>
      <c r="M117" s="149" t="e">
        <f>(#REF!/#REF!)*100</f>
        <v>#REF!</v>
      </c>
      <c r="N117" s="149" t="e">
        <f>(#REF!/#REF!)*100</f>
        <v>#REF!</v>
      </c>
      <c r="O117" s="149" t="e">
        <f>(#REF!/#REF!)*100</f>
        <v>#REF!</v>
      </c>
      <c r="P117" s="149" t="e">
        <f>(#REF!/#REF!)*100</f>
        <v>#REF!</v>
      </c>
      <c r="Q117" s="149" t="e">
        <f>(#REF!/#REF!)*100</f>
        <v>#REF!</v>
      </c>
      <c r="R117" s="148"/>
      <c r="S117" s="521"/>
    </row>
    <row r="118" spans="1:19" ht="67.5" customHeight="1" thickBot="1">
      <c r="A118" s="138" t="s">
        <v>352</v>
      </c>
      <c r="B118" s="134" t="s">
        <v>353</v>
      </c>
      <c r="C118" s="134" t="s">
        <v>14</v>
      </c>
      <c r="D118" s="134" t="s">
        <v>354</v>
      </c>
      <c r="E118" s="149" t="e">
        <f>(#REF!/#REF!)*100</f>
        <v>#REF!</v>
      </c>
      <c r="F118" s="148" t="e">
        <f>(#REF!/#REF!)*100</f>
        <v>#REF!</v>
      </c>
      <c r="G118" s="148" t="e">
        <f>(#REF!/#REF!)*100</f>
        <v>#REF!</v>
      </c>
      <c r="H118" s="148" t="e">
        <f>(#REF!/#REF!)*100</f>
        <v>#REF!</v>
      </c>
      <c r="I118" s="149" t="e">
        <f>(#REF!/#REF!)*100</f>
        <v>#REF!</v>
      </c>
      <c r="J118" s="149" t="e">
        <f>(#REF!/#REF!)*100</f>
        <v>#REF!</v>
      </c>
      <c r="K118" s="149" t="e">
        <f>(#REF!/#REF!)*100</f>
        <v>#REF!</v>
      </c>
      <c r="L118" s="149" t="e">
        <f>(#REF!/#REF!)*100</f>
        <v>#REF!</v>
      </c>
      <c r="M118" s="149" t="e">
        <f>(#REF!/#REF!)*100</f>
        <v>#REF!</v>
      </c>
      <c r="N118" s="149" t="e">
        <f>(#REF!/#REF!)*100</f>
        <v>#REF!</v>
      </c>
      <c r="O118" s="149" t="e">
        <f>(#REF!/#REF!)*100</f>
        <v>#REF!</v>
      </c>
      <c r="P118" s="149" t="e">
        <f>(#REF!/#REF!)*100</f>
        <v>#REF!</v>
      </c>
      <c r="Q118" s="149" t="e">
        <f>(#REF!/#REF!)*100</f>
        <v>#REF!</v>
      </c>
      <c r="R118" s="148"/>
      <c r="S118" s="521"/>
    </row>
    <row r="119" spans="1:19" ht="70.5" customHeight="1" thickBot="1">
      <c r="A119" s="138" t="s">
        <v>355</v>
      </c>
      <c r="B119" s="134" t="s">
        <v>356</v>
      </c>
      <c r="C119" s="134" t="s">
        <v>14</v>
      </c>
      <c r="D119" s="134" t="s">
        <v>357</v>
      </c>
      <c r="E119" s="149" t="e">
        <f>(#REF!/#REF!)*100</f>
        <v>#REF!</v>
      </c>
      <c r="F119" s="149" t="e">
        <f>(#REF!/#REF!)*100</f>
        <v>#REF!</v>
      </c>
      <c r="G119" s="149" t="e">
        <f>(#REF!/#REF!)*100</f>
        <v>#REF!</v>
      </c>
      <c r="H119" s="149" t="e">
        <f>(#REF!/#REF!)*100</f>
        <v>#REF!</v>
      </c>
      <c r="I119" s="149" t="e">
        <f>(#REF!/#REF!)*100</f>
        <v>#REF!</v>
      </c>
      <c r="J119" s="149" t="e">
        <f>(#REF!/#REF!)*100</f>
        <v>#REF!</v>
      </c>
      <c r="K119" s="149" t="e">
        <f>(#REF!/#REF!)*100</f>
        <v>#REF!</v>
      </c>
      <c r="L119" s="149" t="e">
        <f>(#REF!/#REF!)*100</f>
        <v>#REF!</v>
      </c>
      <c r="M119" s="149" t="e">
        <f>(#REF!/#REF!)*100</f>
        <v>#REF!</v>
      </c>
      <c r="N119" s="149" t="e">
        <f>(#REF!/#REF!)*100</f>
        <v>#REF!</v>
      </c>
      <c r="O119" s="149" t="e">
        <f>(#REF!/#REF!)*100</f>
        <v>#REF!</v>
      </c>
      <c r="P119" s="149" t="e">
        <f>(#REF!/#REF!)*100</f>
        <v>#REF!</v>
      </c>
      <c r="Q119" s="149" t="e">
        <f>(#REF!/#REF!)*100</f>
        <v>#REF!</v>
      </c>
      <c r="R119" s="148"/>
      <c r="S119" s="521"/>
    </row>
    <row r="120" spans="1:19" ht="84" customHeight="1" thickBot="1">
      <c r="A120" s="138" t="s">
        <v>358</v>
      </c>
      <c r="B120" s="134" t="s">
        <v>359</v>
      </c>
      <c r="C120" s="134" t="s">
        <v>14</v>
      </c>
      <c r="D120" s="134" t="s">
        <v>360</v>
      </c>
      <c r="E120" s="149" t="e">
        <f>(#REF!/#REF!)*100</f>
        <v>#REF!</v>
      </c>
      <c r="F120" s="149" t="e">
        <f>(#REF!/#REF!)*100</f>
        <v>#REF!</v>
      </c>
      <c r="G120" s="149" t="e">
        <f>(#REF!/#REF!)*100</f>
        <v>#REF!</v>
      </c>
      <c r="H120" s="149" t="e">
        <f>(#REF!/#REF!)*100</f>
        <v>#REF!</v>
      </c>
      <c r="I120" s="149" t="e">
        <f>(#REF!/#REF!)*100</f>
        <v>#REF!</v>
      </c>
      <c r="J120" s="149" t="e">
        <f>(#REF!/#REF!)*100</f>
        <v>#REF!</v>
      </c>
      <c r="K120" s="149" t="e">
        <f>(#REF!/#REF!)*100</f>
        <v>#REF!</v>
      </c>
      <c r="L120" s="149" t="e">
        <f>(#REF!/#REF!)*100</f>
        <v>#REF!</v>
      </c>
      <c r="M120" s="149" t="e">
        <f>(#REF!/#REF!)*100</f>
        <v>#REF!</v>
      </c>
      <c r="N120" s="149" t="e">
        <f>(#REF!/#REF!)*100</f>
        <v>#REF!</v>
      </c>
      <c r="O120" s="149" t="e">
        <f>(#REF!/#REF!)*100</f>
        <v>#REF!</v>
      </c>
      <c r="P120" s="149" t="e">
        <f>(#REF!/#REF!)*100</f>
        <v>#REF!</v>
      </c>
      <c r="Q120" s="149" t="e">
        <f>(#REF!/#REF!)*100</f>
        <v>#REF!</v>
      </c>
      <c r="R120" s="148"/>
      <c r="S120" s="520"/>
    </row>
    <row r="121" spans="1:19" ht="47.25" customHeight="1" thickBot="1">
      <c r="A121" s="516" t="s">
        <v>361</v>
      </c>
      <c r="B121" s="517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517"/>
      <c r="Q121" s="517"/>
      <c r="R121" s="517"/>
      <c r="S121" s="518"/>
    </row>
    <row r="122" spans="1:19" ht="244.5" customHeight="1" thickBot="1">
      <c r="A122" s="138" t="s">
        <v>362</v>
      </c>
      <c r="B122" s="134" t="s">
        <v>363</v>
      </c>
      <c r="C122" s="134" t="s">
        <v>14</v>
      </c>
      <c r="D122" s="134" t="s">
        <v>364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/>
      <c r="S122" s="519" t="s">
        <v>365</v>
      </c>
    </row>
    <row r="123" spans="1:19" ht="297" customHeight="1" thickBot="1">
      <c r="A123" s="138" t="s">
        <v>366</v>
      </c>
      <c r="B123" s="134" t="s">
        <v>367</v>
      </c>
      <c r="C123" s="134" t="s">
        <v>14</v>
      </c>
      <c r="D123" s="134" t="s">
        <v>386</v>
      </c>
      <c r="E123" s="148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/>
      <c r="S123" s="520"/>
    </row>
  </sheetData>
  <sheetProtection password="CF6E" sheet="1" objects="1" scenarios="1" selectLockedCells="1" selectUnlockedCells="1"/>
  <mergeCells count="13">
    <mergeCell ref="S122:S123"/>
    <mergeCell ref="A57:S57"/>
    <mergeCell ref="A114:S114"/>
    <mergeCell ref="S115:S120"/>
    <mergeCell ref="A121:S121"/>
    <mergeCell ref="A15:S15"/>
    <mergeCell ref="A24:S24"/>
    <mergeCell ref="A3:A4"/>
    <mergeCell ref="B3:B4"/>
    <mergeCell ref="C3:C4"/>
    <mergeCell ref="E3:R3"/>
    <mergeCell ref="S3:S4"/>
    <mergeCell ref="A6:S6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34"/>
  <sheetViews>
    <sheetView tabSelected="1" zoomScale="90" zoomScaleNormal="90" zoomScalePageLayoutView="0" workbookViewId="0" topLeftCell="D303">
      <selection activeCell="V310" sqref="V310"/>
    </sheetView>
  </sheetViews>
  <sheetFormatPr defaultColWidth="9.140625" defaultRowHeight="12.75"/>
  <cols>
    <col min="1" max="1" width="0" style="256" hidden="1" customWidth="1"/>
    <col min="2" max="2" width="12.57421875" style="256" hidden="1" customWidth="1"/>
    <col min="3" max="3" width="15.140625" style="256" hidden="1" customWidth="1"/>
    <col min="4" max="4" width="5.7109375" style="465" customWidth="1"/>
    <col min="5" max="5" width="49.28125" style="256" customWidth="1"/>
    <col min="6" max="6" width="8.140625" style="461" customWidth="1"/>
    <col min="7" max="7" width="11.7109375" style="462" customWidth="1"/>
    <col min="8" max="9" width="10.8515625" style="462" customWidth="1"/>
    <col min="10" max="10" width="8.00390625" style="256" customWidth="1"/>
    <col min="11" max="11" width="12.57421875" style="256" hidden="1" customWidth="1"/>
    <col min="12" max="15" width="0" style="256" hidden="1" customWidth="1"/>
    <col min="16" max="16" width="9.8515625" style="256" customWidth="1"/>
    <col min="17" max="17" width="11.28125" style="256" customWidth="1"/>
    <col min="18" max="18" width="21.00390625" style="256" customWidth="1"/>
    <col min="19" max="16384" width="9.140625" style="256" customWidth="1"/>
  </cols>
  <sheetData>
    <row r="1" spans="4:18" ht="54" customHeight="1">
      <c r="D1" s="522" t="s">
        <v>812</v>
      </c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</row>
    <row r="2" ht="0.75" customHeight="1" hidden="1">
      <c r="J2" s="466"/>
    </row>
    <row r="3" spans="4:18" ht="26.25" customHeight="1">
      <c r="D3" s="523" t="s">
        <v>599</v>
      </c>
      <c r="E3" s="523" t="s">
        <v>6</v>
      </c>
      <c r="F3" s="523" t="s">
        <v>7</v>
      </c>
      <c r="G3" s="523" t="s">
        <v>601</v>
      </c>
      <c r="H3" s="523"/>
      <c r="I3" s="570" t="s">
        <v>696</v>
      </c>
      <c r="J3" s="523" t="s">
        <v>697</v>
      </c>
      <c r="K3" s="479"/>
      <c r="L3" s="479"/>
      <c r="M3" s="488"/>
      <c r="N3" s="488"/>
      <c r="O3" s="571"/>
      <c r="P3" s="572" t="s">
        <v>604</v>
      </c>
      <c r="Q3" s="572" t="s">
        <v>602</v>
      </c>
      <c r="R3" s="573" t="s">
        <v>606</v>
      </c>
    </row>
    <row r="4" spans="4:18" ht="60" customHeight="1">
      <c r="D4" s="523"/>
      <c r="E4" s="523"/>
      <c r="F4" s="523"/>
      <c r="G4" s="496" t="s">
        <v>598</v>
      </c>
      <c r="H4" s="496" t="s">
        <v>603</v>
      </c>
      <c r="I4" s="574"/>
      <c r="J4" s="523"/>
      <c r="K4" s="479"/>
      <c r="L4" s="479"/>
      <c r="M4" s="488"/>
      <c r="N4" s="488"/>
      <c r="O4" s="571"/>
      <c r="P4" s="572"/>
      <c r="Q4" s="572"/>
      <c r="R4" s="575"/>
    </row>
    <row r="5" spans="4:18" ht="15">
      <c r="D5" s="496">
        <v>1</v>
      </c>
      <c r="E5" s="496">
        <v>2</v>
      </c>
      <c r="F5" s="496">
        <v>3</v>
      </c>
      <c r="G5" s="496">
        <v>4</v>
      </c>
      <c r="H5" s="496">
        <v>5</v>
      </c>
      <c r="I5" s="496">
        <v>6</v>
      </c>
      <c r="J5" s="496">
        <v>7</v>
      </c>
      <c r="K5" s="479"/>
      <c r="L5" s="479"/>
      <c r="M5" s="488"/>
      <c r="N5" s="488"/>
      <c r="O5" s="488"/>
      <c r="P5" s="576">
        <v>8</v>
      </c>
      <c r="Q5" s="489">
        <v>9</v>
      </c>
      <c r="R5" s="483">
        <v>10</v>
      </c>
    </row>
    <row r="6" spans="4:18" ht="59.25" customHeight="1">
      <c r="D6" s="577" t="s">
        <v>607</v>
      </c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</row>
    <row r="7" spans="4:18" ht="60.75" customHeight="1">
      <c r="D7" s="579" t="s">
        <v>655</v>
      </c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580"/>
      <c r="P7" s="580"/>
      <c r="Q7" s="580"/>
      <c r="R7" s="581"/>
    </row>
    <row r="8" spans="4:18" ht="50.25" customHeight="1">
      <c r="D8" s="579" t="s">
        <v>656</v>
      </c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1"/>
    </row>
    <row r="9" spans="1:18" ht="39" customHeight="1" thickBot="1">
      <c r="A9" s="257"/>
      <c r="B9" s="17" t="s">
        <v>15</v>
      </c>
      <c r="C9" s="232" t="s">
        <v>368</v>
      </c>
      <c r="D9" s="582">
        <v>1</v>
      </c>
      <c r="E9" s="583" t="s">
        <v>648</v>
      </c>
      <c r="F9" s="584" t="s">
        <v>646</v>
      </c>
      <c r="G9" s="484">
        <v>638.3</v>
      </c>
      <c r="H9" s="484">
        <v>556.3</v>
      </c>
      <c r="I9" s="585"/>
      <c r="J9" s="586"/>
      <c r="K9" s="479"/>
      <c r="L9" s="479"/>
      <c r="M9" s="488"/>
      <c r="N9" s="488"/>
      <c r="O9" s="488"/>
      <c r="P9" s="587"/>
      <c r="Q9" s="488"/>
      <c r="R9" s="488"/>
    </row>
    <row r="10" spans="1:18" ht="30" customHeight="1" thickBot="1">
      <c r="A10" s="257"/>
      <c r="B10" s="17"/>
      <c r="C10" s="232"/>
      <c r="D10" s="582">
        <v>2</v>
      </c>
      <c r="E10" s="584" t="s">
        <v>649</v>
      </c>
      <c r="F10" s="584" t="s">
        <v>480</v>
      </c>
      <c r="G10" s="484">
        <v>2</v>
      </c>
      <c r="H10" s="484" t="s">
        <v>647</v>
      </c>
      <c r="I10" s="585"/>
      <c r="J10" s="586"/>
      <c r="K10" s="479"/>
      <c r="L10" s="479"/>
      <c r="M10" s="488"/>
      <c r="N10" s="488"/>
      <c r="O10" s="488"/>
      <c r="P10" s="488"/>
      <c r="Q10" s="488"/>
      <c r="R10" s="488"/>
    </row>
    <row r="11" spans="1:18" ht="30" customHeight="1" thickBot="1">
      <c r="A11" s="257"/>
      <c r="B11" s="224" t="s">
        <v>19</v>
      </c>
      <c r="C11" s="232" t="s">
        <v>369</v>
      </c>
      <c r="D11" s="582">
        <v>3</v>
      </c>
      <c r="E11" s="584" t="s">
        <v>650</v>
      </c>
      <c r="F11" s="584" t="s">
        <v>662</v>
      </c>
      <c r="G11" s="484">
        <v>18.9</v>
      </c>
      <c r="H11" s="484">
        <v>56.5</v>
      </c>
      <c r="I11" s="585"/>
      <c r="J11" s="586"/>
      <c r="K11" s="479"/>
      <c r="L11" s="479"/>
      <c r="M11" s="488"/>
      <c r="N11" s="488"/>
      <c r="O11" s="488"/>
      <c r="P11" s="488"/>
      <c r="Q11" s="488"/>
      <c r="R11" s="488"/>
    </row>
    <row r="12" spans="1:18" ht="34.5" customHeight="1" thickBot="1">
      <c r="A12" s="257"/>
      <c r="B12" s="224" t="s">
        <v>27</v>
      </c>
      <c r="C12" s="232" t="s">
        <v>370</v>
      </c>
      <c r="D12" s="582">
        <v>4</v>
      </c>
      <c r="E12" s="584" t="s">
        <v>651</v>
      </c>
      <c r="F12" s="584" t="s">
        <v>662</v>
      </c>
      <c r="G12" s="484">
        <v>238.8</v>
      </c>
      <c r="H12" s="484">
        <v>1539.95</v>
      </c>
      <c r="I12" s="585"/>
      <c r="J12" s="586"/>
      <c r="K12" s="479"/>
      <c r="L12" s="479"/>
      <c r="M12" s="488"/>
      <c r="N12" s="488"/>
      <c r="O12" s="488"/>
      <c r="P12" s="488"/>
      <c r="Q12" s="488"/>
      <c r="R12" s="488"/>
    </row>
    <row r="13" spans="1:18" ht="21.75" customHeight="1" thickBot="1">
      <c r="A13" s="257"/>
      <c r="B13" s="224"/>
      <c r="C13" s="232"/>
      <c r="D13" s="588"/>
      <c r="E13" s="480" t="s">
        <v>695</v>
      </c>
      <c r="F13" s="589"/>
      <c r="G13" s="585"/>
      <c r="H13" s="585"/>
      <c r="I13" s="485">
        <v>50</v>
      </c>
      <c r="J13" s="489">
        <v>1</v>
      </c>
      <c r="K13" s="479"/>
      <c r="L13" s="479"/>
      <c r="M13" s="488"/>
      <c r="N13" s="488"/>
      <c r="O13" s="488"/>
      <c r="P13" s="488"/>
      <c r="Q13" s="488"/>
      <c r="R13" s="488"/>
    </row>
    <row r="14" spans="1:18" ht="27.75" customHeight="1" thickBot="1">
      <c r="A14" s="257"/>
      <c r="B14" s="224"/>
      <c r="C14" s="232"/>
      <c r="D14" s="588"/>
      <c r="E14" s="480" t="s">
        <v>694</v>
      </c>
      <c r="F14" s="589"/>
      <c r="G14" s="585"/>
      <c r="H14" s="585"/>
      <c r="I14" s="485">
        <v>33</v>
      </c>
      <c r="J14" s="489">
        <v>1</v>
      </c>
      <c r="K14" s="479"/>
      <c r="L14" s="479"/>
      <c r="M14" s="488"/>
      <c r="N14" s="488"/>
      <c r="O14" s="488"/>
      <c r="P14" s="488"/>
      <c r="Q14" s="488"/>
      <c r="R14" s="488"/>
    </row>
    <row r="15" spans="1:18" ht="27.75" customHeight="1" thickBot="1">
      <c r="A15" s="257"/>
      <c r="B15" s="224"/>
      <c r="C15" s="232"/>
      <c r="D15" s="726"/>
      <c r="E15" s="727"/>
      <c r="F15" s="728"/>
      <c r="G15" s="729"/>
      <c r="H15" s="729"/>
      <c r="I15" s="730"/>
      <c r="J15" s="731"/>
      <c r="K15" s="732"/>
      <c r="L15" s="732"/>
      <c r="M15" s="733"/>
      <c r="N15" s="733"/>
      <c r="O15" s="733"/>
      <c r="P15" s="733"/>
      <c r="Q15" s="733"/>
      <c r="R15" s="734"/>
    </row>
    <row r="16" spans="1:18" ht="46.5" customHeight="1" thickBot="1">
      <c r="A16" s="257"/>
      <c r="B16" s="224"/>
      <c r="C16" s="232"/>
      <c r="D16" s="590" t="s">
        <v>657</v>
      </c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591"/>
      <c r="P16" s="591"/>
      <c r="Q16" s="591"/>
      <c r="R16" s="592"/>
    </row>
    <row r="17" spans="1:18" ht="57.75" customHeight="1" hidden="1" thickBot="1">
      <c r="A17" s="257"/>
      <c r="B17" s="224"/>
      <c r="C17" s="232"/>
      <c r="D17" s="593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5"/>
    </row>
    <row r="18" spans="1:18" ht="57.75" customHeight="1" hidden="1" thickBot="1">
      <c r="A18" s="257"/>
      <c r="B18" s="224"/>
      <c r="C18" s="232"/>
      <c r="D18" s="596"/>
      <c r="E18" s="597"/>
      <c r="F18" s="597"/>
      <c r="G18" s="597"/>
      <c r="H18" s="597"/>
      <c r="I18" s="597"/>
      <c r="J18" s="597"/>
      <c r="K18" s="597"/>
      <c r="L18" s="597"/>
      <c r="M18" s="597"/>
      <c r="N18" s="597"/>
      <c r="O18" s="597"/>
      <c r="P18" s="597"/>
      <c r="Q18" s="597"/>
      <c r="R18" s="598"/>
    </row>
    <row r="19" spans="1:18" ht="48.75" customHeight="1" thickBot="1">
      <c r="A19" s="257"/>
      <c r="B19" s="224"/>
      <c r="C19" s="232"/>
      <c r="D19" s="590" t="s">
        <v>658</v>
      </c>
      <c r="E19" s="591"/>
      <c r="F19" s="591"/>
      <c r="G19" s="591"/>
      <c r="H19" s="591"/>
      <c r="I19" s="591"/>
      <c r="J19" s="591"/>
      <c r="K19" s="591"/>
      <c r="L19" s="591"/>
      <c r="M19" s="591"/>
      <c r="N19" s="591"/>
      <c r="O19" s="591"/>
      <c r="P19" s="591"/>
      <c r="Q19" s="591"/>
      <c r="R19" s="592"/>
    </row>
    <row r="20" spans="1:18" ht="0.75" customHeight="1" hidden="1" thickBot="1">
      <c r="A20" s="257"/>
      <c r="B20" s="224"/>
      <c r="C20" s="232"/>
      <c r="D20" s="593"/>
      <c r="E20" s="594"/>
      <c r="F20" s="594"/>
      <c r="G20" s="594"/>
      <c r="H20" s="594"/>
      <c r="I20" s="594"/>
      <c r="J20" s="594"/>
      <c r="K20" s="594"/>
      <c r="L20" s="594"/>
      <c r="M20" s="594"/>
      <c r="N20" s="594"/>
      <c r="O20" s="594"/>
      <c r="P20" s="594"/>
      <c r="Q20" s="594"/>
      <c r="R20" s="595"/>
    </row>
    <row r="21" spans="1:18" ht="57.75" customHeight="1" hidden="1" thickBot="1">
      <c r="A21" s="257"/>
      <c r="B21" s="224"/>
      <c r="C21" s="232"/>
      <c r="D21" s="596"/>
      <c r="E21" s="597"/>
      <c r="F21" s="597"/>
      <c r="G21" s="597"/>
      <c r="H21" s="597"/>
      <c r="I21" s="597"/>
      <c r="J21" s="597"/>
      <c r="K21" s="597"/>
      <c r="L21" s="597"/>
      <c r="M21" s="597"/>
      <c r="N21" s="597"/>
      <c r="O21" s="597"/>
      <c r="P21" s="597"/>
      <c r="Q21" s="597"/>
      <c r="R21" s="598"/>
    </row>
    <row r="22" spans="1:18" ht="35.25" customHeight="1" thickBot="1">
      <c r="A22" s="257"/>
      <c r="B22" s="224" t="s">
        <v>30</v>
      </c>
      <c r="C22" s="232" t="s">
        <v>372</v>
      </c>
      <c r="D22" s="599">
        <v>1</v>
      </c>
      <c r="E22" s="600" t="s">
        <v>652</v>
      </c>
      <c r="F22" s="601"/>
      <c r="G22" s="601">
        <v>100</v>
      </c>
      <c r="H22" s="601">
        <v>100</v>
      </c>
      <c r="I22" s="585"/>
      <c r="J22" s="586"/>
      <c r="K22" s="479"/>
      <c r="L22" s="479"/>
      <c r="M22" s="488"/>
      <c r="N22" s="488"/>
      <c r="O22" s="488"/>
      <c r="P22" s="488"/>
      <c r="Q22" s="488"/>
      <c r="R22" s="488"/>
    </row>
    <row r="23" spans="1:18" ht="78.75" customHeight="1" hidden="1" thickBot="1">
      <c r="A23" s="257"/>
      <c r="B23" s="224" t="s">
        <v>33</v>
      </c>
      <c r="C23" s="232" t="s">
        <v>373</v>
      </c>
      <c r="D23" s="582">
        <v>6</v>
      </c>
      <c r="E23" s="600"/>
      <c r="F23" s="601"/>
      <c r="G23" s="601"/>
      <c r="H23" s="601"/>
      <c r="I23" s="585"/>
      <c r="J23" s="586"/>
      <c r="K23" s="479"/>
      <c r="L23" s="479"/>
      <c r="M23" s="488"/>
      <c r="N23" s="488"/>
      <c r="O23" s="488"/>
      <c r="P23" s="488"/>
      <c r="Q23" s="488"/>
      <c r="R23" s="488"/>
    </row>
    <row r="24" spans="1:18" ht="60" customHeight="1" hidden="1" thickBot="1">
      <c r="A24" s="257"/>
      <c r="B24" s="224" t="s">
        <v>42</v>
      </c>
      <c r="C24" s="232" t="s">
        <v>374</v>
      </c>
      <c r="D24" s="582">
        <v>7</v>
      </c>
      <c r="E24" s="600"/>
      <c r="F24" s="601"/>
      <c r="G24" s="601"/>
      <c r="H24" s="601"/>
      <c r="I24" s="585"/>
      <c r="J24" s="586"/>
      <c r="K24" s="479"/>
      <c r="L24" s="479"/>
      <c r="M24" s="488"/>
      <c r="N24" s="488"/>
      <c r="O24" s="488"/>
      <c r="P24" s="488"/>
      <c r="Q24" s="488"/>
      <c r="R24" s="488"/>
    </row>
    <row r="25" spans="1:18" ht="47.25" customHeight="1" thickBot="1">
      <c r="A25" s="257"/>
      <c r="B25" s="224"/>
      <c r="C25" s="232"/>
      <c r="D25" s="602">
        <v>2</v>
      </c>
      <c r="E25" s="600" t="s">
        <v>653</v>
      </c>
      <c r="F25" s="601"/>
      <c r="G25" s="601">
        <v>0.7</v>
      </c>
      <c r="H25" s="601">
        <v>3.9</v>
      </c>
      <c r="I25" s="603"/>
      <c r="J25" s="602"/>
      <c r="K25" s="479"/>
      <c r="L25" s="479"/>
      <c r="M25" s="488"/>
      <c r="N25" s="488"/>
      <c r="O25" s="488"/>
      <c r="P25" s="604"/>
      <c r="Q25" s="604"/>
      <c r="R25" s="604"/>
    </row>
    <row r="26" spans="1:18" ht="0.75" customHeight="1" hidden="1" thickBot="1">
      <c r="A26" s="257"/>
      <c r="B26" s="224"/>
      <c r="C26" s="232"/>
      <c r="D26" s="605"/>
      <c r="E26" s="606"/>
      <c r="F26" s="607"/>
      <c r="G26" s="607"/>
      <c r="H26" s="607"/>
      <c r="I26" s="608"/>
      <c r="J26" s="609"/>
      <c r="K26" s="610"/>
      <c r="L26" s="610"/>
      <c r="M26" s="611"/>
      <c r="N26" s="611"/>
      <c r="O26" s="611"/>
      <c r="P26" s="612"/>
      <c r="Q26" s="612"/>
      <c r="R26" s="612"/>
    </row>
    <row r="27" spans="1:18" ht="24.75" customHeight="1" thickBot="1">
      <c r="A27" s="257"/>
      <c r="B27" s="224"/>
      <c r="C27" s="232"/>
      <c r="D27" s="613"/>
      <c r="E27" s="480" t="s">
        <v>695</v>
      </c>
      <c r="F27" s="589"/>
      <c r="G27" s="614"/>
      <c r="H27" s="614"/>
      <c r="I27" s="615">
        <v>88.9</v>
      </c>
      <c r="J27" s="616">
        <v>3</v>
      </c>
      <c r="K27" s="610"/>
      <c r="L27" s="610"/>
      <c r="M27" s="611"/>
      <c r="N27" s="611"/>
      <c r="O27" s="611"/>
      <c r="P27" s="617"/>
      <c r="Q27" s="617"/>
      <c r="R27" s="617"/>
    </row>
    <row r="28" spans="1:18" ht="27.75" customHeight="1" thickBot="1">
      <c r="A28" s="257"/>
      <c r="B28" s="17" t="s">
        <v>45</v>
      </c>
      <c r="C28" s="232" t="s">
        <v>375</v>
      </c>
      <c r="D28" s="618"/>
      <c r="E28" s="480" t="s">
        <v>694</v>
      </c>
      <c r="F28" s="589"/>
      <c r="G28" s="619"/>
      <c r="H28" s="619"/>
      <c r="I28" s="620">
        <v>100</v>
      </c>
      <c r="J28" s="620">
        <v>1</v>
      </c>
      <c r="K28" s="479"/>
      <c r="L28" s="479"/>
      <c r="M28" s="488"/>
      <c r="N28" s="488"/>
      <c r="O28" s="488"/>
      <c r="P28" s="621"/>
      <c r="Q28" s="621"/>
      <c r="R28" s="621"/>
    </row>
    <row r="29" spans="1:18" ht="3.75" customHeight="1" hidden="1">
      <c r="A29" s="257"/>
      <c r="B29" s="471" t="s">
        <v>49</v>
      </c>
      <c r="C29" s="336" t="s">
        <v>376</v>
      </c>
      <c r="D29" s="622"/>
      <c r="E29" s="623"/>
      <c r="F29" s="623"/>
      <c r="G29" s="624"/>
      <c r="H29" s="624"/>
      <c r="I29" s="625"/>
      <c r="J29" s="622"/>
      <c r="K29" s="610"/>
      <c r="L29" s="610"/>
      <c r="M29" s="611"/>
      <c r="N29" s="611"/>
      <c r="O29" s="611"/>
      <c r="P29" s="626"/>
      <c r="Q29" s="626"/>
      <c r="R29" s="626"/>
    </row>
    <row r="30" spans="1:18" ht="18" customHeight="1">
      <c r="A30" s="472"/>
      <c r="B30" s="473"/>
      <c r="C30" s="473"/>
      <c r="D30" s="590" t="s">
        <v>659</v>
      </c>
      <c r="E30" s="591"/>
      <c r="F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2"/>
    </row>
    <row r="31" spans="1:18" ht="30" customHeight="1">
      <c r="A31" s="472"/>
      <c r="B31" s="473"/>
      <c r="C31" s="473"/>
      <c r="D31" s="596"/>
      <c r="E31" s="597"/>
      <c r="F31" s="597"/>
      <c r="G31" s="597"/>
      <c r="H31" s="597"/>
      <c r="I31" s="597"/>
      <c r="J31" s="597"/>
      <c r="K31" s="597"/>
      <c r="L31" s="597"/>
      <c r="M31" s="597"/>
      <c r="N31" s="597"/>
      <c r="O31" s="597"/>
      <c r="P31" s="597"/>
      <c r="Q31" s="597"/>
      <c r="R31" s="598"/>
    </row>
    <row r="32" spans="1:18" ht="46.5" customHeight="1">
      <c r="A32" s="472"/>
      <c r="B32" s="473"/>
      <c r="C32" s="473"/>
      <c r="D32" s="579" t="s">
        <v>660</v>
      </c>
      <c r="E32" s="580"/>
      <c r="F32" s="580"/>
      <c r="G32" s="580"/>
      <c r="H32" s="580"/>
      <c r="I32" s="580"/>
      <c r="J32" s="580"/>
      <c r="K32" s="580"/>
      <c r="L32" s="580"/>
      <c r="M32" s="580"/>
      <c r="N32" s="580"/>
      <c r="O32" s="580"/>
      <c r="P32" s="580"/>
      <c r="Q32" s="580"/>
      <c r="R32" s="581"/>
    </row>
    <row r="33" spans="1:18" ht="1.5" customHeight="1">
      <c r="A33" s="474"/>
      <c r="B33" s="475"/>
      <c r="C33" s="475"/>
      <c r="D33" s="627"/>
      <c r="E33" s="627"/>
      <c r="F33" s="627"/>
      <c r="G33" s="627"/>
      <c r="H33" s="627"/>
      <c r="I33" s="627"/>
      <c r="J33" s="627"/>
      <c r="K33" s="627"/>
      <c r="L33" s="627"/>
      <c r="M33" s="627"/>
      <c r="N33" s="627"/>
      <c r="O33" s="627"/>
      <c r="P33" s="627"/>
      <c r="Q33" s="627"/>
      <c r="R33" s="628"/>
    </row>
    <row r="34" spans="1:18" ht="36" customHeight="1" thickBot="1">
      <c r="A34" s="257"/>
      <c r="B34" s="17"/>
      <c r="C34" s="467" t="s">
        <v>377</v>
      </c>
      <c r="D34" s="629" t="s">
        <v>661</v>
      </c>
      <c r="E34" s="600" t="s">
        <v>654</v>
      </c>
      <c r="F34" s="601" t="s">
        <v>14</v>
      </c>
      <c r="G34" s="601">
        <v>50</v>
      </c>
      <c r="H34" s="601">
        <v>78</v>
      </c>
      <c r="I34" s="630"/>
      <c r="J34" s="629"/>
      <c r="K34" s="631"/>
      <c r="L34" s="632"/>
      <c r="M34" s="633"/>
      <c r="N34" s="633"/>
      <c r="O34" s="633"/>
      <c r="P34" s="634"/>
      <c r="Q34" s="634"/>
      <c r="R34" s="634"/>
    </row>
    <row r="35" spans="1:18" ht="32.25" customHeight="1" thickBot="1">
      <c r="A35" s="257"/>
      <c r="B35" s="224" t="s">
        <v>56</v>
      </c>
      <c r="C35" s="232" t="s">
        <v>378</v>
      </c>
      <c r="D35" s="629"/>
      <c r="E35" s="600"/>
      <c r="F35" s="601"/>
      <c r="G35" s="601"/>
      <c r="H35" s="601"/>
      <c r="I35" s="630"/>
      <c r="J35" s="629"/>
      <c r="K35" s="635"/>
      <c r="L35" s="479"/>
      <c r="M35" s="488"/>
      <c r="N35" s="488"/>
      <c r="O35" s="488"/>
      <c r="P35" s="634"/>
      <c r="Q35" s="634"/>
      <c r="R35" s="634"/>
    </row>
    <row r="36" spans="1:18" ht="9" customHeight="1" thickBot="1">
      <c r="A36" s="257"/>
      <c r="B36" s="17"/>
      <c r="C36" s="467" t="s">
        <v>379</v>
      </c>
      <c r="D36" s="629"/>
      <c r="E36" s="600"/>
      <c r="F36" s="601"/>
      <c r="G36" s="601"/>
      <c r="H36" s="601"/>
      <c r="I36" s="630"/>
      <c r="J36" s="629"/>
      <c r="K36" s="635"/>
      <c r="L36" s="479"/>
      <c r="M36" s="488"/>
      <c r="N36" s="488"/>
      <c r="O36" s="488"/>
      <c r="P36" s="612"/>
      <c r="Q36" s="612"/>
      <c r="R36" s="612"/>
    </row>
    <row r="37" spans="1:18" ht="27.75" customHeight="1" hidden="1" thickBot="1">
      <c r="A37" s="257"/>
      <c r="B37" s="224" t="s">
        <v>64</v>
      </c>
      <c r="C37" s="232" t="s">
        <v>380</v>
      </c>
      <c r="D37" s="629"/>
      <c r="E37" s="600"/>
      <c r="F37" s="601"/>
      <c r="G37" s="601"/>
      <c r="H37" s="601"/>
      <c r="I37" s="585"/>
      <c r="J37" s="586">
        <v>2</v>
      </c>
      <c r="K37" s="635"/>
      <c r="L37" s="479"/>
      <c r="M37" s="488"/>
      <c r="N37" s="488"/>
      <c r="O37" s="488"/>
      <c r="P37" s="571"/>
      <c r="Q37" s="488"/>
      <c r="R37" s="488"/>
    </row>
    <row r="38" spans="1:18" ht="33" customHeight="1" hidden="1" thickBot="1">
      <c r="A38" s="257"/>
      <c r="B38" s="17"/>
      <c r="C38" s="467" t="s">
        <v>381</v>
      </c>
      <c r="D38" s="629"/>
      <c r="E38" s="600"/>
      <c r="F38" s="601"/>
      <c r="G38" s="601"/>
      <c r="H38" s="601"/>
      <c r="I38" s="585"/>
      <c r="J38" s="586">
        <v>2</v>
      </c>
      <c r="K38" s="635"/>
      <c r="L38" s="479"/>
      <c r="M38" s="488"/>
      <c r="N38" s="488"/>
      <c r="O38" s="488"/>
      <c r="P38" s="571"/>
      <c r="Q38" s="488"/>
      <c r="R38" s="488"/>
    </row>
    <row r="39" spans="1:18" ht="18.75" customHeight="1" thickBot="1">
      <c r="A39" s="257"/>
      <c r="B39" s="17"/>
      <c r="C39" s="467"/>
      <c r="D39" s="586"/>
      <c r="E39" s="480" t="s">
        <v>695</v>
      </c>
      <c r="F39" s="589"/>
      <c r="G39" s="484"/>
      <c r="H39" s="484"/>
      <c r="I39" s="489">
        <v>79.4</v>
      </c>
      <c r="J39" s="489">
        <v>3</v>
      </c>
      <c r="K39" s="636"/>
      <c r="L39" s="610"/>
      <c r="M39" s="611"/>
      <c r="N39" s="611"/>
      <c r="O39" s="611"/>
      <c r="P39" s="637"/>
      <c r="Q39" s="611"/>
      <c r="R39" s="611"/>
    </row>
    <row r="40" spans="1:18" ht="33" customHeight="1" thickBot="1">
      <c r="A40" s="257"/>
      <c r="B40" s="17"/>
      <c r="C40" s="467"/>
      <c r="D40" s="586"/>
      <c r="E40" s="480" t="s">
        <v>694</v>
      </c>
      <c r="F40" s="589"/>
      <c r="G40" s="484"/>
      <c r="H40" s="484"/>
      <c r="I40" s="489">
        <v>100</v>
      </c>
      <c r="J40" s="489">
        <v>1</v>
      </c>
      <c r="K40" s="636"/>
      <c r="L40" s="610"/>
      <c r="M40" s="611"/>
      <c r="N40" s="611"/>
      <c r="O40" s="611"/>
      <c r="P40" s="637"/>
      <c r="Q40" s="611"/>
      <c r="R40" s="611"/>
    </row>
    <row r="41" spans="1:18" ht="63.75" customHeight="1" thickBot="1">
      <c r="A41" s="257"/>
      <c r="B41" s="224" t="s">
        <v>78</v>
      </c>
      <c r="C41" s="232" t="s">
        <v>382</v>
      </c>
      <c r="D41" s="496"/>
      <c r="E41" s="486" t="s">
        <v>600</v>
      </c>
      <c r="F41" s="487"/>
      <c r="G41" s="479"/>
      <c r="H41" s="479"/>
      <c r="I41" s="479"/>
      <c r="J41" s="489" t="s">
        <v>691</v>
      </c>
      <c r="K41" s="610"/>
      <c r="L41" s="610"/>
      <c r="M41" s="611"/>
      <c r="N41" s="611"/>
      <c r="O41" s="611"/>
      <c r="P41" s="638" t="s">
        <v>724</v>
      </c>
      <c r="Q41" s="639" t="s">
        <v>605</v>
      </c>
      <c r="R41" s="489" t="s">
        <v>663</v>
      </c>
    </row>
    <row r="42" spans="4:18" ht="45.75" customHeight="1">
      <c r="D42" s="640" t="s">
        <v>624</v>
      </c>
      <c r="E42" s="641"/>
      <c r="F42" s="641"/>
      <c r="G42" s="641"/>
      <c r="H42" s="641"/>
      <c r="I42" s="641"/>
      <c r="J42" s="641"/>
      <c r="K42" s="641"/>
      <c r="L42" s="641"/>
      <c r="M42" s="641"/>
      <c r="N42" s="641"/>
      <c r="O42" s="641"/>
      <c r="P42" s="641"/>
      <c r="Q42" s="641"/>
      <c r="R42" s="641"/>
    </row>
    <row r="43" spans="4:18" ht="30.75" customHeight="1">
      <c r="D43" s="579" t="s">
        <v>698</v>
      </c>
      <c r="E43" s="580"/>
      <c r="F43" s="580"/>
      <c r="G43" s="580"/>
      <c r="H43" s="580"/>
      <c r="I43" s="580"/>
      <c r="J43" s="580"/>
      <c r="K43" s="580"/>
      <c r="L43" s="580"/>
      <c r="M43" s="580"/>
      <c r="N43" s="580"/>
      <c r="O43" s="580"/>
      <c r="P43" s="580"/>
      <c r="Q43" s="580"/>
      <c r="R43" s="581"/>
    </row>
    <row r="44" spans="4:18" ht="45" customHeight="1">
      <c r="D44" s="579" t="s">
        <v>699</v>
      </c>
      <c r="E44" s="580"/>
      <c r="F44" s="580"/>
      <c r="G44" s="580"/>
      <c r="H44" s="580"/>
      <c r="I44" s="580"/>
      <c r="J44" s="580"/>
      <c r="K44" s="580"/>
      <c r="L44" s="580"/>
      <c r="M44" s="580"/>
      <c r="N44" s="580"/>
      <c r="O44" s="580"/>
      <c r="P44" s="580"/>
      <c r="Q44" s="580"/>
      <c r="R44" s="581"/>
    </row>
    <row r="45" spans="4:18" ht="47.25">
      <c r="D45" s="569"/>
      <c r="E45" s="642" t="s">
        <v>608</v>
      </c>
      <c r="F45" s="643"/>
      <c r="G45" s="610"/>
      <c r="H45" s="610"/>
      <c r="I45" s="479"/>
      <c r="J45" s="489"/>
      <c r="K45" s="488"/>
      <c r="L45" s="488"/>
      <c r="M45" s="488"/>
      <c r="N45" s="488"/>
      <c r="O45" s="488"/>
      <c r="P45" s="488"/>
      <c r="Q45" s="488"/>
      <c r="R45" s="488"/>
    </row>
    <row r="46" spans="4:18" ht="31.5">
      <c r="D46" s="644" t="s">
        <v>661</v>
      </c>
      <c r="E46" s="645" t="s">
        <v>700</v>
      </c>
      <c r="F46" s="589" t="s">
        <v>14</v>
      </c>
      <c r="G46" s="585">
        <v>100</v>
      </c>
      <c r="H46" s="585">
        <v>100</v>
      </c>
      <c r="I46" s="646"/>
      <c r="J46" s="488"/>
      <c r="K46" s="488"/>
      <c r="L46" s="488"/>
      <c r="M46" s="488"/>
      <c r="N46" s="488"/>
      <c r="O46" s="488"/>
      <c r="P46" s="488"/>
      <c r="Q46" s="488"/>
      <c r="R46" s="488"/>
    </row>
    <row r="47" spans="4:18" ht="47.25">
      <c r="D47" s="644" t="s">
        <v>702</v>
      </c>
      <c r="E47" s="645" t="s">
        <v>701</v>
      </c>
      <c r="F47" s="589" t="s">
        <v>14</v>
      </c>
      <c r="G47" s="585">
        <v>100</v>
      </c>
      <c r="H47" s="585">
        <v>100</v>
      </c>
      <c r="I47" s="646"/>
      <c r="J47" s="488"/>
      <c r="K47" s="488"/>
      <c r="L47" s="488"/>
      <c r="M47" s="488"/>
      <c r="N47" s="488"/>
      <c r="O47" s="488"/>
      <c r="P47" s="488"/>
      <c r="Q47" s="488"/>
      <c r="R47" s="488"/>
    </row>
    <row r="48" spans="4:18" ht="15.75">
      <c r="D48" s="569"/>
      <c r="E48" s="480" t="s">
        <v>695</v>
      </c>
      <c r="F48" s="589"/>
      <c r="G48" s="484"/>
      <c r="H48" s="484"/>
      <c r="I48" s="489">
        <v>79.4</v>
      </c>
      <c r="J48" s="489">
        <v>3</v>
      </c>
      <c r="K48" s="488"/>
      <c r="L48" s="488"/>
      <c r="M48" s="488"/>
      <c r="N48" s="488"/>
      <c r="O48" s="488"/>
      <c r="P48" s="488"/>
      <c r="Q48" s="488"/>
      <c r="R48" s="488"/>
    </row>
    <row r="49" spans="4:18" ht="28.5">
      <c r="D49" s="569"/>
      <c r="E49" s="480" t="s">
        <v>694</v>
      </c>
      <c r="F49" s="589"/>
      <c r="G49" s="484"/>
      <c r="H49" s="484"/>
      <c r="I49" s="489">
        <v>100</v>
      </c>
      <c r="J49" s="489">
        <v>1</v>
      </c>
      <c r="K49" s="488"/>
      <c r="L49" s="488"/>
      <c r="M49" s="488"/>
      <c r="N49" s="488"/>
      <c r="O49" s="488"/>
      <c r="P49" s="488"/>
      <c r="Q49" s="488"/>
      <c r="R49" s="488"/>
    </row>
    <row r="50" spans="4:18" ht="27.75" customHeight="1">
      <c r="D50" s="569"/>
      <c r="E50" s="647" t="s">
        <v>698</v>
      </c>
      <c r="F50" s="648"/>
      <c r="G50" s="648"/>
      <c r="H50" s="648"/>
      <c r="I50" s="648"/>
      <c r="J50" s="648"/>
      <c r="K50" s="648"/>
      <c r="L50" s="648"/>
      <c r="M50" s="648"/>
      <c r="N50" s="648"/>
      <c r="O50" s="648"/>
      <c r="P50" s="648"/>
      <c r="Q50" s="648"/>
      <c r="R50" s="649"/>
    </row>
    <row r="51" spans="4:18" ht="54" customHeight="1">
      <c r="D51" s="569"/>
      <c r="E51" s="647" t="s">
        <v>714</v>
      </c>
      <c r="F51" s="650"/>
      <c r="G51" s="650"/>
      <c r="H51" s="650"/>
      <c r="I51" s="648"/>
      <c r="J51" s="648"/>
      <c r="K51" s="648"/>
      <c r="L51" s="648"/>
      <c r="M51" s="648"/>
      <c r="N51" s="648"/>
      <c r="O51" s="648"/>
      <c r="P51" s="648"/>
      <c r="Q51" s="648"/>
      <c r="R51" s="649"/>
    </row>
    <row r="52" spans="4:18" ht="31.5" customHeight="1">
      <c r="D52" s="477">
        <v>1</v>
      </c>
      <c r="E52" s="651" t="s">
        <v>703</v>
      </c>
      <c r="F52" s="484" t="s">
        <v>14</v>
      </c>
      <c r="G52" s="484">
        <v>100</v>
      </c>
      <c r="H52" s="484">
        <v>100</v>
      </c>
      <c r="I52" s="652"/>
      <c r="J52" s="653"/>
      <c r="K52" s="653"/>
      <c r="L52" s="653"/>
      <c r="M52" s="653"/>
      <c r="N52" s="653"/>
      <c r="O52" s="653"/>
      <c r="P52" s="653"/>
      <c r="Q52" s="653"/>
      <c r="R52" s="653"/>
    </row>
    <row r="53" spans="4:18" ht="76.5" customHeight="1">
      <c r="D53" s="477">
        <v>2</v>
      </c>
      <c r="E53" s="654" t="s">
        <v>704</v>
      </c>
      <c r="F53" s="484" t="s">
        <v>14</v>
      </c>
      <c r="G53" s="484">
        <v>1.73</v>
      </c>
      <c r="H53" s="484">
        <v>1.42</v>
      </c>
      <c r="I53" s="652"/>
      <c r="J53" s="653"/>
      <c r="K53" s="653"/>
      <c r="L53" s="653"/>
      <c r="M53" s="653"/>
      <c r="N53" s="653"/>
      <c r="O53" s="653"/>
      <c r="P53" s="653"/>
      <c r="Q53" s="653"/>
      <c r="R53" s="653"/>
    </row>
    <row r="54" spans="4:18" ht="61.5" customHeight="1">
      <c r="D54" s="477">
        <v>3</v>
      </c>
      <c r="E54" s="654" t="s">
        <v>705</v>
      </c>
      <c r="F54" s="484" t="s">
        <v>14</v>
      </c>
      <c r="G54" s="484">
        <v>1.55</v>
      </c>
      <c r="H54" s="484">
        <v>1.55</v>
      </c>
      <c r="I54" s="652"/>
      <c r="J54" s="653"/>
      <c r="K54" s="653"/>
      <c r="L54" s="653"/>
      <c r="M54" s="653"/>
      <c r="N54" s="653"/>
      <c r="O54" s="653"/>
      <c r="P54" s="653"/>
      <c r="Q54" s="653"/>
      <c r="R54" s="653"/>
    </row>
    <row r="55" spans="4:18" ht="108.75" customHeight="1">
      <c r="D55" s="477">
        <v>4</v>
      </c>
      <c r="E55" s="654" t="s">
        <v>706</v>
      </c>
      <c r="F55" s="484" t="s">
        <v>14</v>
      </c>
      <c r="G55" s="484">
        <v>35.5</v>
      </c>
      <c r="H55" s="484">
        <v>100</v>
      </c>
      <c r="I55" s="652"/>
      <c r="J55" s="653"/>
      <c r="K55" s="653"/>
      <c r="L55" s="653"/>
      <c r="M55" s="653"/>
      <c r="N55" s="653"/>
      <c r="O55" s="653"/>
      <c r="P55" s="653"/>
      <c r="Q55" s="653"/>
      <c r="R55" s="653"/>
    </row>
    <row r="56" spans="4:18" ht="21" customHeight="1">
      <c r="D56" s="477"/>
      <c r="E56" s="480" t="s">
        <v>695</v>
      </c>
      <c r="F56" s="655"/>
      <c r="G56" s="656"/>
      <c r="H56" s="656"/>
      <c r="I56" s="489">
        <v>100</v>
      </c>
      <c r="J56" s="489">
        <v>3</v>
      </c>
      <c r="K56" s="653"/>
      <c r="L56" s="653"/>
      <c r="M56" s="653"/>
      <c r="N56" s="653"/>
      <c r="O56" s="653"/>
      <c r="P56" s="653"/>
      <c r="Q56" s="653"/>
      <c r="R56" s="653"/>
    </row>
    <row r="57" spans="4:18" ht="30" customHeight="1">
      <c r="D57" s="477"/>
      <c r="E57" s="480" t="s">
        <v>694</v>
      </c>
      <c r="F57" s="589"/>
      <c r="G57" s="484"/>
      <c r="H57" s="484"/>
      <c r="I57" s="489">
        <v>100</v>
      </c>
      <c r="J57" s="489">
        <v>0</v>
      </c>
      <c r="K57" s="653"/>
      <c r="L57" s="653"/>
      <c r="M57" s="653"/>
      <c r="N57" s="653"/>
      <c r="O57" s="653"/>
      <c r="P57" s="653"/>
      <c r="Q57" s="653"/>
      <c r="R57" s="653"/>
    </row>
    <row r="58" spans="4:18" ht="30" customHeight="1">
      <c r="D58" s="477"/>
      <c r="E58" s="647" t="s">
        <v>707</v>
      </c>
      <c r="F58" s="648"/>
      <c r="G58" s="648"/>
      <c r="H58" s="648"/>
      <c r="I58" s="648"/>
      <c r="J58" s="648"/>
      <c r="K58" s="648"/>
      <c r="L58" s="648"/>
      <c r="M58" s="648"/>
      <c r="N58" s="648"/>
      <c r="O58" s="648"/>
      <c r="P58" s="648"/>
      <c r="Q58" s="648"/>
      <c r="R58" s="649"/>
    </row>
    <row r="59" spans="4:18" ht="52.5" customHeight="1">
      <c r="D59" s="477"/>
      <c r="E59" s="647" t="s">
        <v>708</v>
      </c>
      <c r="F59" s="648"/>
      <c r="G59" s="648"/>
      <c r="H59" s="648"/>
      <c r="I59" s="648"/>
      <c r="J59" s="648"/>
      <c r="K59" s="648"/>
      <c r="L59" s="648"/>
      <c r="M59" s="648"/>
      <c r="N59" s="648"/>
      <c r="O59" s="648"/>
      <c r="P59" s="648"/>
      <c r="Q59" s="648"/>
      <c r="R59" s="649"/>
    </row>
    <row r="60" spans="4:18" ht="35.25" customHeight="1">
      <c r="D60" s="477">
        <v>1</v>
      </c>
      <c r="E60" s="657" t="s">
        <v>709</v>
      </c>
      <c r="F60" s="484" t="s">
        <v>14</v>
      </c>
      <c r="G60" s="484">
        <v>100</v>
      </c>
      <c r="H60" s="484">
        <v>100</v>
      </c>
      <c r="I60" s="489"/>
      <c r="J60" s="489"/>
      <c r="K60" s="653"/>
      <c r="L60" s="653"/>
      <c r="M60" s="653"/>
      <c r="N60" s="653"/>
      <c r="O60" s="653"/>
      <c r="P60" s="653"/>
      <c r="Q60" s="653"/>
      <c r="R60" s="653"/>
    </row>
    <row r="61" spans="4:18" ht="30" customHeight="1">
      <c r="D61" s="477">
        <v>2</v>
      </c>
      <c r="E61" s="478" t="s">
        <v>710</v>
      </c>
      <c r="F61" s="484" t="s">
        <v>14</v>
      </c>
      <c r="G61" s="484">
        <v>100</v>
      </c>
      <c r="H61" s="484">
        <v>100</v>
      </c>
      <c r="I61" s="489"/>
      <c r="J61" s="489"/>
      <c r="K61" s="653"/>
      <c r="L61" s="653"/>
      <c r="M61" s="653"/>
      <c r="N61" s="653"/>
      <c r="O61" s="653"/>
      <c r="P61" s="653"/>
      <c r="Q61" s="653"/>
      <c r="R61" s="653"/>
    </row>
    <row r="62" spans="4:18" ht="30" customHeight="1">
      <c r="D62" s="477">
        <v>3</v>
      </c>
      <c r="E62" s="478" t="s">
        <v>711</v>
      </c>
      <c r="F62" s="484" t="s">
        <v>14</v>
      </c>
      <c r="G62" s="484">
        <v>100</v>
      </c>
      <c r="H62" s="484">
        <v>100</v>
      </c>
      <c r="I62" s="489"/>
      <c r="J62" s="489"/>
      <c r="K62" s="653"/>
      <c r="L62" s="653"/>
      <c r="M62" s="653"/>
      <c r="N62" s="653"/>
      <c r="O62" s="653"/>
      <c r="P62" s="653"/>
      <c r="Q62" s="653"/>
      <c r="R62" s="653"/>
    </row>
    <row r="63" spans="4:18" ht="30" customHeight="1">
      <c r="D63" s="477"/>
      <c r="E63" s="480" t="s">
        <v>695</v>
      </c>
      <c r="F63" s="655"/>
      <c r="G63" s="484"/>
      <c r="H63" s="484"/>
      <c r="I63" s="489">
        <v>100</v>
      </c>
      <c r="J63" s="489">
        <v>3</v>
      </c>
      <c r="K63" s="653"/>
      <c r="L63" s="653"/>
      <c r="M63" s="653"/>
      <c r="N63" s="653"/>
      <c r="O63" s="653"/>
      <c r="P63" s="653"/>
      <c r="Q63" s="653"/>
      <c r="R63" s="653"/>
    </row>
    <row r="64" spans="4:18" ht="30" customHeight="1">
      <c r="D64" s="477"/>
      <c r="E64" s="480" t="s">
        <v>694</v>
      </c>
      <c r="F64" s="655"/>
      <c r="G64" s="484"/>
      <c r="H64" s="484"/>
      <c r="I64" s="489">
        <v>100</v>
      </c>
      <c r="J64" s="489">
        <v>0</v>
      </c>
      <c r="K64" s="653"/>
      <c r="L64" s="653"/>
      <c r="M64" s="653"/>
      <c r="N64" s="653"/>
      <c r="O64" s="653"/>
      <c r="P64" s="653"/>
      <c r="Q64" s="653"/>
      <c r="R64" s="653"/>
    </row>
    <row r="65" spans="4:18" ht="66" customHeight="1">
      <c r="D65" s="477"/>
      <c r="E65" s="647" t="s">
        <v>712</v>
      </c>
      <c r="F65" s="648"/>
      <c r="G65" s="648"/>
      <c r="H65" s="648"/>
      <c r="I65" s="648"/>
      <c r="J65" s="648"/>
      <c r="K65" s="648"/>
      <c r="L65" s="648"/>
      <c r="M65" s="648"/>
      <c r="N65" s="648"/>
      <c r="O65" s="648"/>
      <c r="P65" s="648"/>
      <c r="Q65" s="648"/>
      <c r="R65" s="649"/>
    </row>
    <row r="66" spans="4:18" ht="63" customHeight="1">
      <c r="D66" s="477"/>
      <c r="E66" s="647" t="s">
        <v>713</v>
      </c>
      <c r="F66" s="648"/>
      <c r="G66" s="648"/>
      <c r="H66" s="648"/>
      <c r="I66" s="648"/>
      <c r="J66" s="648"/>
      <c r="K66" s="648"/>
      <c r="L66" s="648"/>
      <c r="M66" s="648"/>
      <c r="N66" s="648"/>
      <c r="O66" s="648"/>
      <c r="P66" s="648"/>
      <c r="Q66" s="648"/>
      <c r="R66" s="649"/>
    </row>
    <row r="67" spans="4:18" ht="30" customHeight="1">
      <c r="D67" s="477">
        <v>1</v>
      </c>
      <c r="E67" s="484" t="s">
        <v>609</v>
      </c>
      <c r="F67" s="585" t="s">
        <v>610</v>
      </c>
      <c r="G67" s="484">
        <v>20</v>
      </c>
      <c r="H67" s="484">
        <v>11.8</v>
      </c>
      <c r="I67" s="489"/>
      <c r="J67" s="489"/>
      <c r="K67" s="653"/>
      <c r="L67" s="653"/>
      <c r="M67" s="653"/>
      <c r="N67" s="653"/>
      <c r="O67" s="653"/>
      <c r="P67" s="653"/>
      <c r="Q67" s="653"/>
      <c r="R67" s="653"/>
    </row>
    <row r="68" spans="4:18" ht="30" customHeight="1">
      <c r="D68" s="477">
        <v>2</v>
      </c>
      <c r="E68" s="484" t="s">
        <v>715</v>
      </c>
      <c r="F68" s="585" t="s">
        <v>610</v>
      </c>
      <c r="G68" s="484">
        <v>1</v>
      </c>
      <c r="H68" s="484">
        <v>1.15</v>
      </c>
      <c r="I68" s="489"/>
      <c r="J68" s="489"/>
      <c r="K68" s="653"/>
      <c r="L68" s="653"/>
      <c r="M68" s="653"/>
      <c r="N68" s="653"/>
      <c r="O68" s="653"/>
      <c r="P68" s="653"/>
      <c r="Q68" s="653"/>
      <c r="R68" s="653"/>
    </row>
    <row r="69" spans="4:18" ht="30" customHeight="1">
      <c r="D69" s="477">
        <v>3</v>
      </c>
      <c r="E69" s="484" t="s">
        <v>716</v>
      </c>
      <c r="F69" s="484" t="s">
        <v>14</v>
      </c>
      <c r="G69" s="484">
        <v>100</v>
      </c>
      <c r="H69" s="484">
        <v>100</v>
      </c>
      <c r="I69" s="489"/>
      <c r="J69" s="489"/>
      <c r="K69" s="653"/>
      <c r="L69" s="653"/>
      <c r="M69" s="653"/>
      <c r="N69" s="653"/>
      <c r="O69" s="653"/>
      <c r="P69" s="653"/>
      <c r="Q69" s="653"/>
      <c r="R69" s="653"/>
    </row>
    <row r="70" spans="4:18" ht="30" customHeight="1">
      <c r="D70" s="477"/>
      <c r="E70" s="480" t="s">
        <v>695</v>
      </c>
      <c r="F70" s="655"/>
      <c r="G70" s="484"/>
      <c r="H70" s="484"/>
      <c r="I70" s="489">
        <v>66.7</v>
      </c>
      <c r="J70" s="489">
        <v>1</v>
      </c>
      <c r="K70" s="653"/>
      <c r="L70" s="653"/>
      <c r="M70" s="653"/>
      <c r="N70" s="653"/>
      <c r="O70" s="653"/>
      <c r="P70" s="653"/>
      <c r="Q70" s="653"/>
      <c r="R70" s="653"/>
    </row>
    <row r="71" spans="4:18" ht="30" customHeight="1">
      <c r="D71" s="477"/>
      <c r="E71" s="480" t="s">
        <v>694</v>
      </c>
      <c r="F71" s="655"/>
      <c r="G71" s="484"/>
      <c r="H71" s="484"/>
      <c r="I71" s="489">
        <v>94.9</v>
      </c>
      <c r="J71" s="489">
        <v>1</v>
      </c>
      <c r="K71" s="653"/>
      <c r="L71" s="653"/>
      <c r="M71" s="653"/>
      <c r="N71" s="653"/>
      <c r="O71" s="653"/>
      <c r="P71" s="653"/>
      <c r="Q71" s="653"/>
      <c r="R71" s="653"/>
    </row>
    <row r="72" spans="4:18" ht="29.25" customHeight="1">
      <c r="D72" s="569"/>
      <c r="E72" s="647" t="s">
        <v>717</v>
      </c>
      <c r="F72" s="648"/>
      <c r="G72" s="648"/>
      <c r="H72" s="648"/>
      <c r="I72" s="648"/>
      <c r="J72" s="648"/>
      <c r="K72" s="648"/>
      <c r="L72" s="648"/>
      <c r="M72" s="648"/>
      <c r="N72" s="648"/>
      <c r="O72" s="648"/>
      <c r="P72" s="648"/>
      <c r="Q72" s="648"/>
      <c r="R72" s="649"/>
    </row>
    <row r="73" spans="4:18" ht="40.5" customHeight="1">
      <c r="D73" s="569"/>
      <c r="E73" s="647" t="s">
        <v>718</v>
      </c>
      <c r="F73" s="648"/>
      <c r="G73" s="648"/>
      <c r="H73" s="648"/>
      <c r="I73" s="648"/>
      <c r="J73" s="648"/>
      <c r="K73" s="648"/>
      <c r="L73" s="648"/>
      <c r="M73" s="648"/>
      <c r="N73" s="648"/>
      <c r="O73" s="648"/>
      <c r="P73" s="648"/>
      <c r="Q73" s="648"/>
      <c r="R73" s="649"/>
    </row>
    <row r="74" spans="4:18" ht="31.5">
      <c r="D74" s="477">
        <v>1</v>
      </c>
      <c r="E74" s="658" t="s">
        <v>719</v>
      </c>
      <c r="F74" s="484" t="s">
        <v>14</v>
      </c>
      <c r="G74" s="484">
        <v>98</v>
      </c>
      <c r="H74" s="484">
        <v>99</v>
      </c>
      <c r="I74" s="489"/>
      <c r="J74" s="489"/>
      <c r="K74" s="653"/>
      <c r="L74" s="653"/>
      <c r="M74" s="653"/>
      <c r="N74" s="653"/>
      <c r="O74" s="653"/>
      <c r="P74" s="653"/>
      <c r="Q74" s="653"/>
      <c r="R74" s="653"/>
    </row>
    <row r="75" spans="4:18" ht="15.75">
      <c r="D75" s="569"/>
      <c r="E75" s="480" t="s">
        <v>695</v>
      </c>
      <c r="F75" s="655"/>
      <c r="G75" s="484"/>
      <c r="H75" s="484"/>
      <c r="I75" s="489">
        <v>100</v>
      </c>
      <c r="J75" s="489">
        <v>3</v>
      </c>
      <c r="K75" s="653"/>
      <c r="L75" s="653"/>
      <c r="M75" s="653"/>
      <c r="N75" s="653"/>
      <c r="O75" s="653"/>
      <c r="P75" s="653"/>
      <c r="Q75" s="653"/>
      <c r="R75" s="653"/>
    </row>
    <row r="76" spans="4:18" ht="28.5">
      <c r="D76" s="569"/>
      <c r="E76" s="480" t="s">
        <v>694</v>
      </c>
      <c r="F76" s="655"/>
      <c r="G76" s="484"/>
      <c r="H76" s="484"/>
      <c r="I76" s="489">
        <v>100</v>
      </c>
      <c r="J76" s="489">
        <v>0</v>
      </c>
      <c r="K76" s="653"/>
      <c r="L76" s="653"/>
      <c r="M76" s="653"/>
      <c r="N76" s="653"/>
      <c r="O76" s="653"/>
      <c r="P76" s="653"/>
      <c r="Q76" s="653"/>
      <c r="R76" s="653"/>
    </row>
    <row r="77" spans="4:18" ht="71.25">
      <c r="D77" s="496"/>
      <c r="E77" s="486" t="s">
        <v>600</v>
      </c>
      <c r="F77" s="487"/>
      <c r="G77" s="479"/>
      <c r="H77" s="479"/>
      <c r="I77" s="479"/>
      <c r="J77" s="489" t="s">
        <v>720</v>
      </c>
      <c r="K77" s="479"/>
      <c r="L77" s="479"/>
      <c r="M77" s="488"/>
      <c r="N77" s="488"/>
      <c r="O77" s="488"/>
      <c r="P77" s="489" t="s">
        <v>723</v>
      </c>
      <c r="Q77" s="490" t="s">
        <v>721</v>
      </c>
      <c r="R77" s="489" t="s">
        <v>722</v>
      </c>
    </row>
    <row r="78" spans="4:18" ht="18.75">
      <c r="D78" s="735"/>
      <c r="E78" s="736"/>
      <c r="F78" s="737"/>
      <c r="G78" s="738"/>
      <c r="H78" s="738"/>
      <c r="I78" s="738"/>
      <c r="J78" s="739"/>
      <c r="K78" s="738"/>
      <c r="L78" s="738"/>
      <c r="M78" s="740"/>
      <c r="N78" s="740"/>
      <c r="O78" s="740"/>
      <c r="P78" s="739"/>
      <c r="Q78" s="741"/>
      <c r="R78" s="739"/>
    </row>
    <row r="79" spans="4:18" ht="18.75">
      <c r="D79" s="735"/>
      <c r="E79" s="736"/>
      <c r="F79" s="737"/>
      <c r="G79" s="738"/>
      <c r="H79" s="738"/>
      <c r="I79" s="738"/>
      <c r="J79" s="739"/>
      <c r="K79" s="738"/>
      <c r="L79" s="738"/>
      <c r="M79" s="740"/>
      <c r="N79" s="740"/>
      <c r="O79" s="740"/>
      <c r="P79" s="739"/>
      <c r="Q79" s="741"/>
      <c r="R79" s="739"/>
    </row>
    <row r="80" spans="4:18" ht="18.75">
      <c r="D80" s="735"/>
      <c r="E80" s="736"/>
      <c r="F80" s="737"/>
      <c r="G80" s="738"/>
      <c r="H80" s="738"/>
      <c r="I80" s="738"/>
      <c r="J80" s="739"/>
      <c r="K80" s="738"/>
      <c r="L80" s="738"/>
      <c r="M80" s="740"/>
      <c r="N80" s="740"/>
      <c r="O80" s="740"/>
      <c r="P80" s="739"/>
      <c r="Q80" s="741"/>
      <c r="R80" s="739"/>
    </row>
    <row r="81" spans="4:18" ht="18.75">
      <c r="D81" s="735"/>
      <c r="E81" s="736"/>
      <c r="F81" s="737"/>
      <c r="G81" s="738"/>
      <c r="H81" s="738"/>
      <c r="I81" s="738"/>
      <c r="J81" s="739"/>
      <c r="K81" s="738"/>
      <c r="L81" s="738"/>
      <c r="M81" s="740"/>
      <c r="N81" s="740"/>
      <c r="O81" s="740"/>
      <c r="P81" s="739"/>
      <c r="Q81" s="741"/>
      <c r="R81" s="739"/>
    </row>
    <row r="82" spans="4:18" ht="18.75">
      <c r="D82" s="735"/>
      <c r="E82" s="736"/>
      <c r="F82" s="737"/>
      <c r="G82" s="738"/>
      <c r="H82" s="738"/>
      <c r="I82" s="738"/>
      <c r="J82" s="739"/>
      <c r="K82" s="738"/>
      <c r="L82" s="738"/>
      <c r="M82" s="740"/>
      <c r="N82" s="740"/>
      <c r="O82" s="740"/>
      <c r="P82" s="739"/>
      <c r="Q82" s="741"/>
      <c r="R82" s="739"/>
    </row>
    <row r="83" spans="4:18" ht="18.75">
      <c r="D83" s="735"/>
      <c r="E83" s="736"/>
      <c r="F83" s="737"/>
      <c r="G83" s="738"/>
      <c r="H83" s="738"/>
      <c r="I83" s="738"/>
      <c r="J83" s="739"/>
      <c r="K83" s="738"/>
      <c r="L83" s="738"/>
      <c r="M83" s="740"/>
      <c r="N83" s="740"/>
      <c r="O83" s="740"/>
      <c r="P83" s="739"/>
      <c r="Q83" s="741"/>
      <c r="R83" s="739"/>
    </row>
    <row r="84" spans="4:18" ht="18.75">
      <c r="D84" s="735"/>
      <c r="E84" s="736"/>
      <c r="F84" s="737"/>
      <c r="G84" s="738"/>
      <c r="H84" s="738"/>
      <c r="I84" s="738"/>
      <c r="J84" s="739"/>
      <c r="K84" s="738"/>
      <c r="L84" s="738"/>
      <c r="M84" s="740"/>
      <c r="N84" s="740"/>
      <c r="O84" s="740"/>
      <c r="P84" s="739"/>
      <c r="Q84" s="741"/>
      <c r="R84" s="739"/>
    </row>
    <row r="85" spans="4:18" ht="18.75">
      <c r="D85" s="735"/>
      <c r="E85" s="736"/>
      <c r="F85" s="737"/>
      <c r="G85" s="738"/>
      <c r="H85" s="738"/>
      <c r="I85" s="738"/>
      <c r="J85" s="739"/>
      <c r="K85" s="738"/>
      <c r="L85" s="738"/>
      <c r="M85" s="740"/>
      <c r="N85" s="740"/>
      <c r="O85" s="740"/>
      <c r="P85" s="739"/>
      <c r="Q85" s="741"/>
      <c r="R85" s="739"/>
    </row>
    <row r="86" spans="4:19" ht="40.5" customHeight="1">
      <c r="D86" s="578" t="s">
        <v>741</v>
      </c>
      <c r="E86" s="724"/>
      <c r="F86" s="724"/>
      <c r="G86" s="724"/>
      <c r="H86" s="724"/>
      <c r="I86" s="724"/>
      <c r="J86" s="724"/>
      <c r="K86" s="724"/>
      <c r="L86" s="724"/>
      <c r="M86" s="724"/>
      <c r="N86" s="724"/>
      <c r="O86" s="724"/>
      <c r="P86" s="724"/>
      <c r="Q86" s="724"/>
      <c r="R86" s="724"/>
      <c r="S86" s="469"/>
    </row>
    <row r="87" spans="4:18" ht="26.25" customHeight="1">
      <c r="D87" s="569"/>
      <c r="E87" s="523" t="s">
        <v>742</v>
      </c>
      <c r="F87" s="524"/>
      <c r="G87" s="524"/>
      <c r="H87" s="524"/>
      <c r="I87" s="524"/>
      <c r="J87" s="524"/>
      <c r="K87" s="524"/>
      <c r="L87" s="524"/>
      <c r="M87" s="524"/>
      <c r="N87" s="524"/>
      <c r="O87" s="524"/>
      <c r="P87" s="524"/>
      <c r="Q87" s="524"/>
      <c r="R87" s="524"/>
    </row>
    <row r="88" spans="4:18" ht="27.75" customHeight="1">
      <c r="D88" s="569"/>
      <c r="E88" s="579" t="s">
        <v>749</v>
      </c>
      <c r="F88" s="661"/>
      <c r="G88" s="661"/>
      <c r="H88" s="661"/>
      <c r="I88" s="661"/>
      <c r="J88" s="661"/>
      <c r="K88" s="661"/>
      <c r="L88" s="661"/>
      <c r="M88" s="661"/>
      <c r="N88" s="661"/>
      <c r="O88" s="661"/>
      <c r="P88" s="661"/>
      <c r="Q88" s="661"/>
      <c r="R88" s="662"/>
    </row>
    <row r="89" spans="4:18" ht="69.75" customHeight="1">
      <c r="D89" s="477">
        <v>1</v>
      </c>
      <c r="E89" s="663" t="s">
        <v>611</v>
      </c>
      <c r="F89" s="478" t="s">
        <v>14</v>
      </c>
      <c r="G89" s="479" t="s">
        <v>744</v>
      </c>
      <c r="H89" s="479">
        <v>10.7</v>
      </c>
      <c r="I89" s="479"/>
      <c r="J89" s="488"/>
      <c r="K89" s="488"/>
      <c r="L89" s="488"/>
      <c r="M89" s="488"/>
      <c r="N89" s="488"/>
      <c r="O89" s="488"/>
      <c r="P89" s="488"/>
      <c r="Q89" s="488"/>
      <c r="R89" s="488"/>
    </row>
    <row r="90" spans="4:18" ht="45">
      <c r="D90" s="477">
        <v>2</v>
      </c>
      <c r="E90" s="663" t="s">
        <v>612</v>
      </c>
      <c r="F90" s="478" t="s">
        <v>14</v>
      </c>
      <c r="G90" s="479" t="s">
        <v>745</v>
      </c>
      <c r="H90" s="479">
        <v>5.45</v>
      </c>
      <c r="I90" s="479"/>
      <c r="J90" s="488"/>
      <c r="K90" s="488"/>
      <c r="L90" s="488"/>
      <c r="M90" s="488"/>
      <c r="N90" s="488"/>
      <c r="O90" s="488"/>
      <c r="P90" s="488"/>
      <c r="Q90" s="488"/>
      <c r="R90" s="488"/>
    </row>
    <row r="91" spans="4:18" ht="15.75">
      <c r="D91" s="477"/>
      <c r="E91" s="480" t="s">
        <v>695</v>
      </c>
      <c r="F91" s="655"/>
      <c r="G91" s="484"/>
      <c r="H91" s="484"/>
      <c r="I91" s="489">
        <v>50</v>
      </c>
      <c r="J91" s="489">
        <v>1</v>
      </c>
      <c r="K91" s="488"/>
      <c r="L91" s="488"/>
      <c r="M91" s="488"/>
      <c r="N91" s="488"/>
      <c r="O91" s="488"/>
      <c r="P91" s="488"/>
      <c r="Q91" s="488"/>
      <c r="R91" s="488"/>
    </row>
    <row r="92" spans="4:18" ht="28.5">
      <c r="D92" s="477"/>
      <c r="E92" s="480" t="s">
        <v>694</v>
      </c>
      <c r="F92" s="655"/>
      <c r="G92" s="484"/>
      <c r="H92" s="484"/>
      <c r="I92" s="489">
        <v>100</v>
      </c>
      <c r="J92" s="489">
        <v>0</v>
      </c>
      <c r="K92" s="488"/>
      <c r="L92" s="488"/>
      <c r="M92" s="488"/>
      <c r="N92" s="488"/>
      <c r="O92" s="488"/>
      <c r="P92" s="488"/>
      <c r="Q92" s="488"/>
      <c r="R92" s="488"/>
    </row>
    <row r="93" spans="4:18" ht="15.75" customHeight="1">
      <c r="D93" s="477"/>
      <c r="E93" s="647" t="s">
        <v>746</v>
      </c>
      <c r="F93" s="648"/>
      <c r="G93" s="648"/>
      <c r="H93" s="648"/>
      <c r="I93" s="648"/>
      <c r="J93" s="648"/>
      <c r="K93" s="648"/>
      <c r="L93" s="648"/>
      <c r="M93" s="648"/>
      <c r="N93" s="648"/>
      <c r="O93" s="648"/>
      <c r="P93" s="648"/>
      <c r="Q93" s="648"/>
      <c r="R93" s="649"/>
    </row>
    <row r="94" spans="4:18" ht="15.75" customHeight="1">
      <c r="D94" s="477"/>
      <c r="E94" s="647" t="s">
        <v>750</v>
      </c>
      <c r="F94" s="648"/>
      <c r="G94" s="648"/>
      <c r="H94" s="648"/>
      <c r="I94" s="648"/>
      <c r="J94" s="648"/>
      <c r="K94" s="648"/>
      <c r="L94" s="648"/>
      <c r="M94" s="648"/>
      <c r="N94" s="648"/>
      <c r="O94" s="648"/>
      <c r="P94" s="648"/>
      <c r="Q94" s="648"/>
      <c r="R94" s="649"/>
    </row>
    <row r="95" spans="4:18" ht="49.5" customHeight="1">
      <c r="D95" s="477">
        <v>1</v>
      </c>
      <c r="E95" s="663" t="s">
        <v>613</v>
      </c>
      <c r="F95" s="478" t="s">
        <v>14</v>
      </c>
      <c r="G95" s="479" t="s">
        <v>743</v>
      </c>
      <c r="H95" s="479">
        <v>1.8</v>
      </c>
      <c r="I95" s="479"/>
      <c r="J95" s="488"/>
      <c r="K95" s="488"/>
      <c r="L95" s="488"/>
      <c r="M95" s="488"/>
      <c r="N95" s="488"/>
      <c r="O95" s="488"/>
      <c r="P95" s="488"/>
      <c r="Q95" s="488"/>
      <c r="R95" s="488"/>
    </row>
    <row r="96" spans="4:18" ht="21.75" customHeight="1">
      <c r="D96" s="477"/>
      <c r="E96" s="480" t="s">
        <v>695</v>
      </c>
      <c r="F96" s="655"/>
      <c r="G96" s="484"/>
      <c r="H96" s="484"/>
      <c r="I96" s="489">
        <v>100</v>
      </c>
      <c r="J96" s="489">
        <v>3</v>
      </c>
      <c r="K96" s="488"/>
      <c r="L96" s="488"/>
      <c r="M96" s="488"/>
      <c r="N96" s="488"/>
      <c r="O96" s="488"/>
      <c r="P96" s="488"/>
      <c r="Q96" s="488"/>
      <c r="R96" s="488"/>
    </row>
    <row r="97" spans="4:18" ht="27" customHeight="1">
      <c r="D97" s="477"/>
      <c r="E97" s="480" t="s">
        <v>694</v>
      </c>
      <c r="F97" s="655"/>
      <c r="G97" s="484"/>
      <c r="H97" s="484"/>
      <c r="I97" s="489">
        <v>85.7</v>
      </c>
      <c r="J97" s="489">
        <v>1</v>
      </c>
      <c r="K97" s="488"/>
      <c r="L97" s="488"/>
      <c r="M97" s="488"/>
      <c r="N97" s="488"/>
      <c r="O97" s="488"/>
      <c r="P97" s="488"/>
      <c r="Q97" s="488"/>
      <c r="R97" s="488"/>
    </row>
    <row r="98" spans="4:18" ht="22.5" customHeight="1">
      <c r="D98" s="477"/>
      <c r="E98" s="647" t="s">
        <v>751</v>
      </c>
      <c r="F98" s="648"/>
      <c r="G98" s="648"/>
      <c r="H98" s="648"/>
      <c r="I98" s="648"/>
      <c r="J98" s="648"/>
      <c r="K98" s="648"/>
      <c r="L98" s="648"/>
      <c r="M98" s="648"/>
      <c r="N98" s="648"/>
      <c r="O98" s="648"/>
      <c r="P98" s="648"/>
      <c r="Q98" s="648"/>
      <c r="R98" s="649"/>
    </row>
    <row r="99" spans="4:18" ht="16.5" customHeight="1">
      <c r="D99" s="477"/>
      <c r="E99" s="647" t="s">
        <v>752</v>
      </c>
      <c r="F99" s="648"/>
      <c r="G99" s="648"/>
      <c r="H99" s="648"/>
      <c r="I99" s="648"/>
      <c r="J99" s="648"/>
      <c r="K99" s="648"/>
      <c r="L99" s="648"/>
      <c r="M99" s="648"/>
      <c r="N99" s="648"/>
      <c r="O99" s="648"/>
      <c r="P99" s="648"/>
      <c r="Q99" s="648"/>
      <c r="R99" s="649"/>
    </row>
    <row r="100" spans="4:18" ht="45">
      <c r="D100" s="477">
        <v>2</v>
      </c>
      <c r="E100" s="663" t="s">
        <v>614</v>
      </c>
      <c r="F100" s="478" t="s">
        <v>14</v>
      </c>
      <c r="G100" s="479">
        <v>0</v>
      </c>
      <c r="H100" s="479">
        <v>0</v>
      </c>
      <c r="I100" s="479"/>
      <c r="J100" s="488"/>
      <c r="K100" s="488"/>
      <c r="L100" s="488"/>
      <c r="M100" s="488"/>
      <c r="N100" s="488"/>
      <c r="O100" s="488"/>
      <c r="P100" s="488"/>
      <c r="Q100" s="488"/>
      <c r="R100" s="488"/>
    </row>
    <row r="101" spans="4:18" ht="30">
      <c r="D101" s="477">
        <v>4</v>
      </c>
      <c r="E101" s="663" t="s">
        <v>615</v>
      </c>
      <c r="F101" s="478" t="s">
        <v>14</v>
      </c>
      <c r="G101" s="479" t="s">
        <v>753</v>
      </c>
      <c r="H101" s="479">
        <v>98.7</v>
      </c>
      <c r="I101" s="479"/>
      <c r="J101" s="488"/>
      <c r="K101" s="488"/>
      <c r="L101" s="488"/>
      <c r="M101" s="488"/>
      <c r="N101" s="488"/>
      <c r="O101" s="488"/>
      <c r="P101" s="488"/>
      <c r="Q101" s="488"/>
      <c r="R101" s="488"/>
    </row>
    <row r="102" spans="4:18" ht="15.75">
      <c r="D102" s="477"/>
      <c r="E102" s="480" t="s">
        <v>695</v>
      </c>
      <c r="F102" s="655"/>
      <c r="G102" s="484"/>
      <c r="H102" s="484"/>
      <c r="I102" s="489">
        <v>100</v>
      </c>
      <c r="J102" s="489">
        <v>3</v>
      </c>
      <c r="K102" s="488"/>
      <c r="L102" s="488"/>
      <c r="M102" s="488"/>
      <c r="N102" s="488"/>
      <c r="O102" s="488"/>
      <c r="P102" s="488"/>
      <c r="Q102" s="488"/>
      <c r="R102" s="488"/>
    </row>
    <row r="103" spans="4:18" ht="28.5">
      <c r="D103" s="477"/>
      <c r="E103" s="480" t="s">
        <v>694</v>
      </c>
      <c r="F103" s="655"/>
      <c r="G103" s="484"/>
      <c r="H103" s="484"/>
      <c r="I103" s="489">
        <v>100</v>
      </c>
      <c r="J103" s="489">
        <v>0</v>
      </c>
      <c r="K103" s="488"/>
      <c r="L103" s="488"/>
      <c r="M103" s="488"/>
      <c r="N103" s="488"/>
      <c r="O103" s="488"/>
      <c r="P103" s="488"/>
      <c r="Q103" s="488"/>
      <c r="R103" s="488"/>
    </row>
    <row r="104" spans="4:18" ht="57">
      <c r="D104" s="477"/>
      <c r="E104" s="486" t="s">
        <v>600</v>
      </c>
      <c r="F104" s="487"/>
      <c r="G104" s="479"/>
      <c r="H104" s="479"/>
      <c r="I104" s="479"/>
      <c r="J104" s="489" t="s">
        <v>754</v>
      </c>
      <c r="K104" s="479"/>
      <c r="L104" s="479"/>
      <c r="M104" s="488"/>
      <c r="N104" s="488"/>
      <c r="O104" s="488"/>
      <c r="P104" s="489" t="s">
        <v>755</v>
      </c>
      <c r="Q104" s="490" t="s">
        <v>739</v>
      </c>
      <c r="R104" s="489" t="s">
        <v>740</v>
      </c>
    </row>
    <row r="105" spans="4:18" ht="18.75">
      <c r="D105" s="742"/>
      <c r="E105" s="736"/>
      <c r="F105" s="737"/>
      <c r="G105" s="738"/>
      <c r="H105" s="738"/>
      <c r="I105" s="738"/>
      <c r="J105" s="739"/>
      <c r="K105" s="738"/>
      <c r="L105" s="738"/>
      <c r="M105" s="740"/>
      <c r="N105" s="740"/>
      <c r="O105" s="740"/>
      <c r="P105" s="739"/>
      <c r="Q105" s="741"/>
      <c r="R105" s="739"/>
    </row>
    <row r="106" spans="4:18" ht="18.75">
      <c r="D106" s="742"/>
      <c r="E106" s="736"/>
      <c r="F106" s="737"/>
      <c r="G106" s="738"/>
      <c r="H106" s="738"/>
      <c r="I106" s="738"/>
      <c r="J106" s="739"/>
      <c r="K106" s="738"/>
      <c r="L106" s="738"/>
      <c r="M106" s="740"/>
      <c r="N106" s="740"/>
      <c r="O106" s="740"/>
      <c r="P106" s="739"/>
      <c r="Q106" s="741"/>
      <c r="R106" s="739"/>
    </row>
    <row r="107" spans="4:18" ht="18.75">
      <c r="D107" s="742"/>
      <c r="E107" s="736"/>
      <c r="F107" s="737"/>
      <c r="G107" s="738"/>
      <c r="H107" s="738"/>
      <c r="I107" s="738"/>
      <c r="J107" s="739"/>
      <c r="K107" s="738"/>
      <c r="L107" s="738"/>
      <c r="M107" s="740"/>
      <c r="N107" s="740"/>
      <c r="O107" s="740"/>
      <c r="P107" s="739"/>
      <c r="Q107" s="741"/>
      <c r="R107" s="739"/>
    </row>
    <row r="108" spans="4:18" ht="18.75">
      <c r="D108" s="742"/>
      <c r="E108" s="736"/>
      <c r="F108" s="737"/>
      <c r="G108" s="738"/>
      <c r="H108" s="738"/>
      <c r="I108" s="738"/>
      <c r="J108" s="739"/>
      <c r="K108" s="738"/>
      <c r="L108" s="738"/>
      <c r="M108" s="740"/>
      <c r="N108" s="740"/>
      <c r="O108" s="740"/>
      <c r="P108" s="739"/>
      <c r="Q108" s="741"/>
      <c r="R108" s="739"/>
    </row>
    <row r="109" spans="4:18" ht="18.75">
      <c r="D109" s="742"/>
      <c r="E109" s="736"/>
      <c r="F109" s="737"/>
      <c r="G109" s="738"/>
      <c r="H109" s="738"/>
      <c r="I109" s="738"/>
      <c r="J109" s="739"/>
      <c r="K109" s="738"/>
      <c r="L109" s="738"/>
      <c r="M109" s="740"/>
      <c r="N109" s="740"/>
      <c r="O109" s="740"/>
      <c r="P109" s="739"/>
      <c r="Q109" s="741"/>
      <c r="R109" s="739"/>
    </row>
    <row r="110" spans="4:18" ht="18.75">
      <c r="D110" s="742"/>
      <c r="E110" s="736"/>
      <c r="F110" s="737"/>
      <c r="G110" s="738"/>
      <c r="H110" s="738"/>
      <c r="I110" s="738"/>
      <c r="J110" s="739"/>
      <c r="K110" s="738"/>
      <c r="L110" s="738"/>
      <c r="M110" s="740"/>
      <c r="N110" s="740"/>
      <c r="O110" s="740"/>
      <c r="P110" s="739"/>
      <c r="Q110" s="741"/>
      <c r="R110" s="739"/>
    </row>
    <row r="111" spans="4:18" ht="18.75">
      <c r="D111" s="742"/>
      <c r="E111" s="736"/>
      <c r="F111" s="737"/>
      <c r="G111" s="738"/>
      <c r="H111" s="738"/>
      <c r="I111" s="738"/>
      <c r="J111" s="739"/>
      <c r="K111" s="738"/>
      <c r="L111" s="738"/>
      <c r="M111" s="740"/>
      <c r="N111" s="740"/>
      <c r="O111" s="740"/>
      <c r="P111" s="739"/>
      <c r="Q111" s="741"/>
      <c r="R111" s="739"/>
    </row>
    <row r="112" spans="4:18" ht="18.75">
      <c r="D112" s="742"/>
      <c r="E112" s="736"/>
      <c r="F112" s="737"/>
      <c r="G112" s="738"/>
      <c r="H112" s="738"/>
      <c r="I112" s="738"/>
      <c r="J112" s="739"/>
      <c r="K112" s="738"/>
      <c r="L112" s="738"/>
      <c r="M112" s="740"/>
      <c r="N112" s="740"/>
      <c r="O112" s="740"/>
      <c r="P112" s="739"/>
      <c r="Q112" s="741"/>
      <c r="R112" s="739"/>
    </row>
    <row r="113" spans="4:18" ht="18.75">
      <c r="D113" s="742"/>
      <c r="E113" s="736"/>
      <c r="F113" s="737"/>
      <c r="G113" s="738"/>
      <c r="H113" s="738"/>
      <c r="I113" s="738"/>
      <c r="J113" s="739"/>
      <c r="K113" s="738"/>
      <c r="L113" s="738"/>
      <c r="M113" s="740"/>
      <c r="N113" s="740"/>
      <c r="O113" s="740"/>
      <c r="P113" s="739"/>
      <c r="Q113" s="741"/>
      <c r="R113" s="739"/>
    </row>
    <row r="114" spans="4:18" ht="18.75">
      <c r="D114" s="742"/>
      <c r="E114" s="736"/>
      <c r="F114" s="737"/>
      <c r="G114" s="738"/>
      <c r="H114" s="738"/>
      <c r="I114" s="738"/>
      <c r="J114" s="739"/>
      <c r="K114" s="738"/>
      <c r="L114" s="738"/>
      <c r="M114" s="740"/>
      <c r="N114" s="740"/>
      <c r="O114" s="740"/>
      <c r="P114" s="739"/>
      <c r="Q114" s="741"/>
      <c r="R114" s="739"/>
    </row>
    <row r="115" spans="4:18" ht="18.75">
      <c r="D115" s="742"/>
      <c r="E115" s="736"/>
      <c r="F115" s="737"/>
      <c r="G115" s="738"/>
      <c r="H115" s="738"/>
      <c r="I115" s="738"/>
      <c r="J115" s="739"/>
      <c r="K115" s="738"/>
      <c r="L115" s="738"/>
      <c r="M115" s="740"/>
      <c r="N115" s="740"/>
      <c r="O115" s="740"/>
      <c r="P115" s="739"/>
      <c r="Q115" s="741"/>
      <c r="R115" s="739"/>
    </row>
    <row r="116" spans="4:18" ht="18.75">
      <c r="D116" s="742"/>
      <c r="E116" s="736"/>
      <c r="F116" s="737"/>
      <c r="G116" s="738"/>
      <c r="H116" s="738"/>
      <c r="I116" s="738"/>
      <c r="J116" s="739"/>
      <c r="K116" s="738"/>
      <c r="L116" s="738"/>
      <c r="M116" s="740"/>
      <c r="N116" s="740"/>
      <c r="O116" s="740"/>
      <c r="P116" s="739"/>
      <c r="Q116" s="741"/>
      <c r="R116" s="739"/>
    </row>
    <row r="117" spans="4:18" ht="18.75">
      <c r="D117" s="742"/>
      <c r="E117" s="736"/>
      <c r="F117" s="737"/>
      <c r="G117" s="738"/>
      <c r="H117" s="738"/>
      <c r="I117" s="738"/>
      <c r="J117" s="739"/>
      <c r="K117" s="738"/>
      <c r="L117" s="738"/>
      <c r="M117" s="740"/>
      <c r="N117" s="740"/>
      <c r="O117" s="740"/>
      <c r="P117" s="739"/>
      <c r="Q117" s="741"/>
      <c r="R117" s="739"/>
    </row>
    <row r="118" spans="4:18" ht="18.75">
      <c r="D118" s="742"/>
      <c r="E118" s="736"/>
      <c r="F118" s="737"/>
      <c r="G118" s="738"/>
      <c r="H118" s="738"/>
      <c r="I118" s="738"/>
      <c r="J118" s="739"/>
      <c r="K118" s="738"/>
      <c r="L118" s="738"/>
      <c r="M118" s="740"/>
      <c r="N118" s="740"/>
      <c r="O118" s="740"/>
      <c r="P118" s="739"/>
      <c r="Q118" s="741"/>
      <c r="R118" s="739"/>
    </row>
    <row r="119" spans="4:18" ht="18.75">
      <c r="D119" s="742"/>
      <c r="E119" s="736"/>
      <c r="F119" s="737"/>
      <c r="G119" s="738"/>
      <c r="H119" s="738"/>
      <c r="I119" s="738"/>
      <c r="J119" s="739"/>
      <c r="K119" s="738"/>
      <c r="L119" s="738"/>
      <c r="M119" s="740"/>
      <c r="N119" s="740"/>
      <c r="O119" s="740"/>
      <c r="P119" s="739"/>
      <c r="Q119" s="741"/>
      <c r="R119" s="739"/>
    </row>
    <row r="120" spans="4:18" ht="18.75">
      <c r="D120" s="742"/>
      <c r="E120" s="736"/>
      <c r="F120" s="737"/>
      <c r="G120" s="738"/>
      <c r="H120" s="738"/>
      <c r="I120" s="738"/>
      <c r="J120" s="739"/>
      <c r="K120" s="738"/>
      <c r="L120" s="738"/>
      <c r="M120" s="740"/>
      <c r="N120" s="740"/>
      <c r="O120" s="740"/>
      <c r="P120" s="739"/>
      <c r="Q120" s="741"/>
      <c r="R120" s="739"/>
    </row>
    <row r="121" spans="4:18" ht="18.75">
      <c r="D121" s="742"/>
      <c r="E121" s="736"/>
      <c r="F121" s="737"/>
      <c r="G121" s="738"/>
      <c r="H121" s="738"/>
      <c r="I121" s="738"/>
      <c r="J121" s="739"/>
      <c r="K121" s="738"/>
      <c r="L121" s="738"/>
      <c r="M121" s="740"/>
      <c r="N121" s="740"/>
      <c r="O121" s="740"/>
      <c r="P121" s="739"/>
      <c r="Q121" s="741"/>
      <c r="R121" s="739"/>
    </row>
    <row r="122" spans="4:18" ht="18.75">
      <c r="D122" s="742"/>
      <c r="E122" s="736"/>
      <c r="F122" s="737"/>
      <c r="G122" s="738"/>
      <c r="H122" s="738"/>
      <c r="I122" s="738"/>
      <c r="J122" s="739"/>
      <c r="K122" s="738"/>
      <c r="L122" s="738"/>
      <c r="M122" s="740"/>
      <c r="N122" s="740"/>
      <c r="O122" s="740"/>
      <c r="P122" s="739"/>
      <c r="Q122" s="741"/>
      <c r="R122" s="739"/>
    </row>
    <row r="123" spans="4:18" ht="18.75">
      <c r="D123" s="742"/>
      <c r="E123" s="736"/>
      <c r="F123" s="737"/>
      <c r="G123" s="738"/>
      <c r="H123" s="738"/>
      <c r="I123" s="738"/>
      <c r="J123" s="739"/>
      <c r="K123" s="738"/>
      <c r="L123" s="738"/>
      <c r="M123" s="740"/>
      <c r="N123" s="740"/>
      <c r="O123" s="740"/>
      <c r="P123" s="739"/>
      <c r="Q123" s="741"/>
      <c r="R123" s="739"/>
    </row>
    <row r="124" spans="4:18" ht="18.75">
      <c r="D124" s="742"/>
      <c r="E124" s="736"/>
      <c r="F124" s="737"/>
      <c r="G124" s="738"/>
      <c r="H124" s="738"/>
      <c r="I124" s="738"/>
      <c r="J124" s="739"/>
      <c r="K124" s="738"/>
      <c r="L124" s="738"/>
      <c r="M124" s="740"/>
      <c r="N124" s="740"/>
      <c r="O124" s="740"/>
      <c r="P124" s="739"/>
      <c r="Q124" s="741"/>
      <c r="R124" s="739"/>
    </row>
    <row r="125" spans="4:18" ht="18.75">
      <c r="D125" s="742"/>
      <c r="E125" s="736"/>
      <c r="F125" s="737"/>
      <c r="G125" s="738"/>
      <c r="H125" s="738"/>
      <c r="I125" s="738"/>
      <c r="J125" s="739"/>
      <c r="K125" s="738"/>
      <c r="L125" s="738"/>
      <c r="M125" s="740"/>
      <c r="N125" s="740"/>
      <c r="O125" s="740"/>
      <c r="P125" s="739"/>
      <c r="Q125" s="741"/>
      <c r="R125" s="739"/>
    </row>
    <row r="126" spans="4:18" ht="18.75">
      <c r="D126" s="742"/>
      <c r="E126" s="736"/>
      <c r="F126" s="737"/>
      <c r="G126" s="738"/>
      <c r="H126" s="738"/>
      <c r="I126" s="738"/>
      <c r="J126" s="739"/>
      <c r="K126" s="738"/>
      <c r="L126" s="738"/>
      <c r="M126" s="740"/>
      <c r="N126" s="740"/>
      <c r="O126" s="740"/>
      <c r="P126" s="739"/>
      <c r="Q126" s="741"/>
      <c r="R126" s="739"/>
    </row>
    <row r="127" spans="4:18" ht="18.75">
      <c r="D127" s="742"/>
      <c r="E127" s="736"/>
      <c r="F127" s="737"/>
      <c r="G127" s="738"/>
      <c r="H127" s="738"/>
      <c r="I127" s="738"/>
      <c r="J127" s="739"/>
      <c r="K127" s="738"/>
      <c r="L127" s="738"/>
      <c r="M127" s="740"/>
      <c r="N127" s="740"/>
      <c r="O127" s="740"/>
      <c r="P127" s="739"/>
      <c r="Q127" s="741"/>
      <c r="R127" s="739"/>
    </row>
    <row r="128" spans="4:18" ht="18.75">
      <c r="D128" s="742"/>
      <c r="E128" s="736"/>
      <c r="F128" s="737"/>
      <c r="G128" s="738"/>
      <c r="H128" s="738"/>
      <c r="I128" s="738"/>
      <c r="J128" s="739"/>
      <c r="K128" s="738"/>
      <c r="L128" s="738"/>
      <c r="M128" s="740"/>
      <c r="N128" s="740"/>
      <c r="O128" s="740"/>
      <c r="P128" s="739"/>
      <c r="Q128" s="741"/>
      <c r="R128" s="739"/>
    </row>
    <row r="129" spans="4:18" ht="18.75">
      <c r="D129" s="742"/>
      <c r="E129" s="736"/>
      <c r="F129" s="737"/>
      <c r="G129" s="738"/>
      <c r="H129" s="738"/>
      <c r="I129" s="738"/>
      <c r="J129" s="739"/>
      <c r="K129" s="738"/>
      <c r="L129" s="738"/>
      <c r="M129" s="740"/>
      <c r="N129" s="740"/>
      <c r="O129" s="740"/>
      <c r="P129" s="739"/>
      <c r="Q129" s="741"/>
      <c r="R129" s="739"/>
    </row>
    <row r="130" spans="4:18" ht="18.75">
      <c r="D130" s="742"/>
      <c r="E130" s="736"/>
      <c r="F130" s="737"/>
      <c r="G130" s="738"/>
      <c r="H130" s="738"/>
      <c r="I130" s="738"/>
      <c r="J130" s="739"/>
      <c r="K130" s="738"/>
      <c r="L130" s="738"/>
      <c r="M130" s="740"/>
      <c r="N130" s="740"/>
      <c r="O130" s="740"/>
      <c r="P130" s="739"/>
      <c r="Q130" s="741"/>
      <c r="R130" s="739"/>
    </row>
    <row r="131" spans="4:19" ht="18.75">
      <c r="D131" s="723" t="s">
        <v>616</v>
      </c>
      <c r="E131" s="723"/>
      <c r="F131" s="723"/>
      <c r="G131" s="723"/>
      <c r="H131" s="723"/>
      <c r="I131" s="723"/>
      <c r="J131" s="723"/>
      <c r="K131" s="723"/>
      <c r="L131" s="723"/>
      <c r="M131" s="723"/>
      <c r="N131" s="723"/>
      <c r="O131" s="723"/>
      <c r="P131" s="723"/>
      <c r="Q131" s="723"/>
      <c r="R131" s="723"/>
      <c r="S131" s="469"/>
    </row>
    <row r="132" spans="4:18" ht="34.5" customHeight="1">
      <c r="D132" s="664"/>
      <c r="E132" s="523" t="s">
        <v>768</v>
      </c>
      <c r="F132" s="524"/>
      <c r="G132" s="524"/>
      <c r="H132" s="524"/>
      <c r="I132" s="524"/>
      <c r="J132" s="524"/>
      <c r="K132" s="524"/>
      <c r="L132" s="524"/>
      <c r="M132" s="524"/>
      <c r="N132" s="524"/>
      <c r="O132" s="524"/>
      <c r="P132" s="524"/>
      <c r="Q132" s="524"/>
      <c r="R132" s="524"/>
    </row>
    <row r="133" spans="4:18" ht="63.75" customHeight="1">
      <c r="D133" s="664"/>
      <c r="E133" s="523" t="s">
        <v>769</v>
      </c>
      <c r="F133" s="524"/>
      <c r="G133" s="524"/>
      <c r="H133" s="524"/>
      <c r="I133" s="524"/>
      <c r="J133" s="524"/>
      <c r="K133" s="524"/>
      <c r="L133" s="524"/>
      <c r="M133" s="524"/>
      <c r="N133" s="524"/>
      <c r="O133" s="524"/>
      <c r="P133" s="524"/>
      <c r="Q133" s="524"/>
      <c r="R133" s="524"/>
    </row>
    <row r="134" spans="4:18" ht="75">
      <c r="D134" s="477">
        <v>1</v>
      </c>
      <c r="E134" s="665" t="s">
        <v>770</v>
      </c>
      <c r="F134" s="478" t="s">
        <v>633</v>
      </c>
      <c r="G134" s="479">
        <v>5</v>
      </c>
      <c r="H134" s="479">
        <v>0</v>
      </c>
      <c r="I134" s="479"/>
      <c r="J134" s="479"/>
      <c r="K134" s="488"/>
      <c r="L134" s="488"/>
      <c r="M134" s="488"/>
      <c r="N134" s="488"/>
      <c r="O134" s="488"/>
      <c r="P134" s="488"/>
      <c r="Q134" s="488"/>
      <c r="R134" s="488"/>
    </row>
    <row r="135" spans="4:18" ht="117" customHeight="1">
      <c r="D135" s="477">
        <v>2</v>
      </c>
      <c r="E135" s="666" t="s">
        <v>771</v>
      </c>
      <c r="F135" s="478" t="s">
        <v>14</v>
      </c>
      <c r="G135" s="479">
        <v>14.7</v>
      </c>
      <c r="H135" s="479">
        <v>0</v>
      </c>
      <c r="I135" s="479"/>
      <c r="J135" s="479"/>
      <c r="K135" s="488"/>
      <c r="L135" s="488"/>
      <c r="M135" s="488"/>
      <c r="N135" s="488"/>
      <c r="O135" s="488"/>
      <c r="P135" s="488"/>
      <c r="Q135" s="488"/>
      <c r="R135" s="488"/>
    </row>
    <row r="136" spans="4:18" ht="32.25" customHeight="1">
      <c r="D136" s="477">
        <v>3</v>
      </c>
      <c r="E136" s="665" t="s">
        <v>772</v>
      </c>
      <c r="F136" s="478" t="s">
        <v>14</v>
      </c>
      <c r="G136" s="479">
        <v>100</v>
      </c>
      <c r="H136" s="479">
        <v>0</v>
      </c>
      <c r="I136" s="479"/>
      <c r="J136" s="479"/>
      <c r="K136" s="488"/>
      <c r="L136" s="488"/>
      <c r="M136" s="488"/>
      <c r="N136" s="488"/>
      <c r="O136" s="488"/>
      <c r="P136" s="488"/>
      <c r="Q136" s="488"/>
      <c r="R136" s="488"/>
    </row>
    <row r="137" spans="4:18" ht="24.75" customHeight="1">
      <c r="D137" s="644"/>
      <c r="E137" s="480" t="s">
        <v>695</v>
      </c>
      <c r="F137" s="655"/>
      <c r="G137" s="484"/>
      <c r="H137" s="484"/>
      <c r="I137" s="489">
        <v>0</v>
      </c>
      <c r="J137" s="489">
        <v>0</v>
      </c>
      <c r="K137" s="488"/>
      <c r="L137" s="488"/>
      <c r="M137" s="488"/>
      <c r="N137" s="488"/>
      <c r="O137" s="488"/>
      <c r="P137" s="488"/>
      <c r="Q137" s="488"/>
      <c r="R137" s="488"/>
    </row>
    <row r="138" spans="4:18" ht="28.5" customHeight="1">
      <c r="D138" s="644"/>
      <c r="E138" s="480" t="s">
        <v>694</v>
      </c>
      <c r="F138" s="655"/>
      <c r="G138" s="484"/>
      <c r="H138" s="484"/>
      <c r="I138" s="489">
        <v>0</v>
      </c>
      <c r="J138" s="489">
        <v>0</v>
      </c>
      <c r="K138" s="488"/>
      <c r="L138" s="488"/>
      <c r="M138" s="488"/>
      <c r="N138" s="488"/>
      <c r="O138" s="488"/>
      <c r="P138" s="488"/>
      <c r="Q138" s="488"/>
      <c r="R138" s="488"/>
    </row>
    <row r="139" spans="4:18" ht="159.75" customHeight="1">
      <c r="D139" s="667"/>
      <c r="E139" s="486" t="s">
        <v>600</v>
      </c>
      <c r="F139" s="487"/>
      <c r="G139" s="479"/>
      <c r="H139" s="479"/>
      <c r="I139" s="479"/>
      <c r="J139" s="489" t="s">
        <v>773</v>
      </c>
      <c r="K139" s="479"/>
      <c r="L139" s="479"/>
      <c r="M139" s="488"/>
      <c r="N139" s="488"/>
      <c r="O139" s="488"/>
      <c r="P139" s="489" t="s">
        <v>774</v>
      </c>
      <c r="Q139" s="490" t="s">
        <v>775</v>
      </c>
      <c r="R139" s="489" t="s">
        <v>776</v>
      </c>
    </row>
    <row r="140" spans="4:19" ht="43.5" customHeight="1">
      <c r="D140" s="578" t="s">
        <v>617</v>
      </c>
      <c r="E140" s="724"/>
      <c r="F140" s="724"/>
      <c r="G140" s="724"/>
      <c r="H140" s="724"/>
      <c r="I140" s="724"/>
      <c r="J140" s="724"/>
      <c r="K140" s="724"/>
      <c r="L140" s="724"/>
      <c r="M140" s="724"/>
      <c r="N140" s="724"/>
      <c r="O140" s="724"/>
      <c r="P140" s="724"/>
      <c r="Q140" s="724"/>
      <c r="R140" s="724"/>
      <c r="S140" s="469"/>
    </row>
    <row r="141" spans="4:18" ht="22.5" customHeight="1">
      <c r="D141" s="487"/>
      <c r="E141" s="523" t="s">
        <v>728</v>
      </c>
      <c r="F141" s="523"/>
      <c r="G141" s="523"/>
      <c r="H141" s="523"/>
      <c r="I141" s="523"/>
      <c r="J141" s="523"/>
      <c r="K141" s="523"/>
      <c r="L141" s="523"/>
      <c r="M141" s="523"/>
      <c r="N141" s="523"/>
      <c r="O141" s="523"/>
      <c r="P141" s="523"/>
      <c r="Q141" s="523"/>
      <c r="R141" s="523"/>
    </row>
    <row r="142" spans="4:18" ht="24.75" customHeight="1">
      <c r="D142" s="569"/>
      <c r="E142" s="668" t="s">
        <v>729</v>
      </c>
      <c r="F142" s="661"/>
      <c r="G142" s="661"/>
      <c r="H142" s="661"/>
      <c r="I142" s="661"/>
      <c r="J142" s="661"/>
      <c r="K142" s="661"/>
      <c r="L142" s="661"/>
      <c r="M142" s="661"/>
      <c r="N142" s="661"/>
      <c r="O142" s="661"/>
      <c r="P142" s="661"/>
      <c r="Q142" s="661"/>
      <c r="R142" s="662"/>
    </row>
    <row r="143" spans="4:18" ht="63" customHeight="1">
      <c r="D143" s="477">
        <v>1</v>
      </c>
      <c r="E143" s="478" t="s">
        <v>611</v>
      </c>
      <c r="F143" s="478" t="s">
        <v>14</v>
      </c>
      <c r="G143" s="479" t="s">
        <v>727</v>
      </c>
      <c r="H143" s="479">
        <v>10.7</v>
      </c>
      <c r="I143" s="479"/>
      <c r="J143" s="488"/>
      <c r="K143" s="488"/>
      <c r="L143" s="488"/>
      <c r="M143" s="488"/>
      <c r="N143" s="488"/>
      <c r="O143" s="488"/>
      <c r="P143" s="488"/>
      <c r="Q143" s="488"/>
      <c r="R143" s="488"/>
    </row>
    <row r="144" spans="4:18" ht="90">
      <c r="D144" s="477">
        <v>2</v>
      </c>
      <c r="E144" s="478" t="s">
        <v>618</v>
      </c>
      <c r="F144" s="478" t="s">
        <v>14</v>
      </c>
      <c r="G144" s="479" t="s">
        <v>621</v>
      </c>
      <c r="H144" s="479">
        <v>0.79</v>
      </c>
      <c r="I144" s="479"/>
      <c r="J144" s="488"/>
      <c r="K144" s="488"/>
      <c r="L144" s="488"/>
      <c r="M144" s="488"/>
      <c r="N144" s="488"/>
      <c r="O144" s="488"/>
      <c r="P144" s="488"/>
      <c r="Q144" s="488"/>
      <c r="R144" s="488"/>
    </row>
    <row r="145" spans="4:18" ht="45">
      <c r="D145" s="477">
        <v>3</v>
      </c>
      <c r="E145" s="478" t="s">
        <v>726</v>
      </c>
      <c r="F145" s="478" t="s">
        <v>14</v>
      </c>
      <c r="G145" s="479" t="s">
        <v>621</v>
      </c>
      <c r="H145" s="479">
        <v>1.8</v>
      </c>
      <c r="I145" s="479"/>
      <c r="J145" s="488"/>
      <c r="K145" s="488"/>
      <c r="L145" s="488"/>
      <c r="M145" s="488"/>
      <c r="N145" s="488"/>
      <c r="O145" s="488"/>
      <c r="P145" s="488"/>
      <c r="Q145" s="488"/>
      <c r="R145" s="488"/>
    </row>
    <row r="146" spans="4:18" ht="34.5" customHeight="1">
      <c r="D146" s="477">
        <v>4</v>
      </c>
      <c r="E146" s="478" t="s">
        <v>619</v>
      </c>
      <c r="F146" s="478" t="s">
        <v>14</v>
      </c>
      <c r="G146" s="479">
        <v>0</v>
      </c>
      <c r="H146" s="479">
        <v>0</v>
      </c>
      <c r="I146" s="479"/>
      <c r="J146" s="488"/>
      <c r="K146" s="488"/>
      <c r="L146" s="488"/>
      <c r="M146" s="488"/>
      <c r="N146" s="488"/>
      <c r="O146" s="488"/>
      <c r="P146" s="488"/>
      <c r="Q146" s="488"/>
      <c r="R146" s="488"/>
    </row>
    <row r="147" spans="4:18" ht="36" customHeight="1">
      <c r="D147" s="477">
        <v>5</v>
      </c>
      <c r="E147" s="478" t="s">
        <v>620</v>
      </c>
      <c r="F147" s="478" t="s">
        <v>14</v>
      </c>
      <c r="G147" s="479">
        <v>98</v>
      </c>
      <c r="H147" s="479">
        <v>98.7</v>
      </c>
      <c r="I147" s="479"/>
      <c r="J147" s="488"/>
      <c r="K147" s="488"/>
      <c r="L147" s="488"/>
      <c r="M147" s="488"/>
      <c r="N147" s="488"/>
      <c r="O147" s="488"/>
      <c r="P147" s="488"/>
      <c r="Q147" s="488"/>
      <c r="R147" s="488"/>
    </row>
    <row r="148" spans="4:18" ht="15.75">
      <c r="D148" s="569"/>
      <c r="E148" s="480" t="s">
        <v>695</v>
      </c>
      <c r="F148" s="655"/>
      <c r="G148" s="484"/>
      <c r="H148" s="484"/>
      <c r="I148" s="489">
        <v>100</v>
      </c>
      <c r="J148" s="489">
        <v>3</v>
      </c>
      <c r="K148" s="653"/>
      <c r="L148" s="653"/>
      <c r="M148" s="653"/>
      <c r="N148" s="653"/>
      <c r="O148" s="653"/>
      <c r="P148" s="653"/>
      <c r="Q148" s="653"/>
      <c r="R148" s="653"/>
    </row>
    <row r="149" spans="4:18" ht="28.5">
      <c r="D149" s="569"/>
      <c r="E149" s="480" t="s">
        <v>694</v>
      </c>
      <c r="F149" s="655"/>
      <c r="G149" s="484"/>
      <c r="H149" s="484"/>
      <c r="I149" s="489">
        <v>0</v>
      </c>
      <c r="J149" s="489">
        <v>0</v>
      </c>
      <c r="K149" s="653"/>
      <c r="L149" s="653"/>
      <c r="M149" s="653"/>
      <c r="N149" s="653"/>
      <c r="O149" s="653"/>
      <c r="P149" s="653"/>
      <c r="Q149" s="653"/>
      <c r="R149" s="653"/>
    </row>
    <row r="150" spans="4:18" ht="26.25" customHeight="1">
      <c r="D150" s="569"/>
      <c r="E150" s="647" t="s">
        <v>730</v>
      </c>
      <c r="F150" s="648"/>
      <c r="G150" s="648"/>
      <c r="H150" s="648"/>
      <c r="I150" s="648"/>
      <c r="J150" s="648"/>
      <c r="K150" s="648"/>
      <c r="L150" s="648"/>
      <c r="M150" s="648"/>
      <c r="N150" s="648"/>
      <c r="O150" s="648"/>
      <c r="P150" s="648"/>
      <c r="Q150" s="648"/>
      <c r="R150" s="649"/>
    </row>
    <row r="151" spans="4:18" ht="15.75" customHeight="1">
      <c r="D151" s="569"/>
      <c r="E151" s="647" t="s">
        <v>747</v>
      </c>
      <c r="F151" s="648"/>
      <c r="G151" s="648"/>
      <c r="H151" s="648"/>
      <c r="I151" s="648"/>
      <c r="J151" s="648"/>
      <c r="K151" s="648"/>
      <c r="L151" s="648"/>
      <c r="M151" s="648"/>
      <c r="N151" s="648"/>
      <c r="O151" s="648"/>
      <c r="P151" s="648"/>
      <c r="Q151" s="648"/>
      <c r="R151" s="649"/>
    </row>
    <row r="152" spans="4:18" ht="72" customHeight="1">
      <c r="D152" s="477">
        <v>1</v>
      </c>
      <c r="E152" s="478" t="s">
        <v>731</v>
      </c>
      <c r="F152" s="478" t="s">
        <v>14</v>
      </c>
      <c r="G152" s="478">
        <v>100</v>
      </c>
      <c r="H152" s="478">
        <v>100</v>
      </c>
      <c r="I152" s="489"/>
      <c r="J152" s="489"/>
      <c r="K152" s="669"/>
      <c r="L152" s="669"/>
      <c r="M152" s="669"/>
      <c r="N152" s="669"/>
      <c r="O152" s="669"/>
      <c r="P152" s="669"/>
      <c r="Q152" s="653"/>
      <c r="R152" s="653"/>
    </row>
    <row r="153" spans="4:18" ht="42" customHeight="1">
      <c r="D153" s="477">
        <v>2</v>
      </c>
      <c r="E153" s="478" t="s">
        <v>612</v>
      </c>
      <c r="F153" s="478" t="s">
        <v>14</v>
      </c>
      <c r="G153" s="478" t="s">
        <v>621</v>
      </c>
      <c r="H153" s="478">
        <v>5.45</v>
      </c>
      <c r="I153" s="489"/>
      <c r="J153" s="489"/>
      <c r="K153" s="669"/>
      <c r="L153" s="669"/>
      <c r="M153" s="669"/>
      <c r="N153" s="669"/>
      <c r="O153" s="669"/>
      <c r="P153" s="669"/>
      <c r="Q153" s="653"/>
      <c r="R153" s="653"/>
    </row>
    <row r="154" spans="4:18" ht="15.75">
      <c r="D154" s="477"/>
      <c r="E154" s="480" t="s">
        <v>695</v>
      </c>
      <c r="F154" s="655"/>
      <c r="G154" s="484"/>
      <c r="H154" s="484"/>
      <c r="I154" s="489">
        <v>50</v>
      </c>
      <c r="J154" s="489">
        <v>1</v>
      </c>
      <c r="K154" s="653"/>
      <c r="L154" s="653"/>
      <c r="M154" s="653"/>
      <c r="N154" s="653"/>
      <c r="O154" s="653"/>
      <c r="P154" s="653"/>
      <c r="Q154" s="653"/>
      <c r="R154" s="653"/>
    </row>
    <row r="155" spans="4:18" ht="28.5">
      <c r="D155" s="477"/>
      <c r="E155" s="480" t="s">
        <v>694</v>
      </c>
      <c r="F155" s="655"/>
      <c r="G155" s="484"/>
      <c r="H155" s="484"/>
      <c r="I155" s="489">
        <v>0</v>
      </c>
      <c r="J155" s="489">
        <v>0</v>
      </c>
      <c r="K155" s="653"/>
      <c r="L155" s="653"/>
      <c r="M155" s="653"/>
      <c r="N155" s="653"/>
      <c r="O155" s="653"/>
      <c r="P155" s="653"/>
      <c r="Q155" s="653"/>
      <c r="R155" s="653"/>
    </row>
    <row r="156" spans="4:18" ht="25.5" customHeight="1">
      <c r="D156" s="477"/>
      <c r="E156" s="647" t="s">
        <v>732</v>
      </c>
      <c r="F156" s="648"/>
      <c r="G156" s="648"/>
      <c r="H156" s="648"/>
      <c r="I156" s="648"/>
      <c r="J156" s="648"/>
      <c r="K156" s="648"/>
      <c r="L156" s="648"/>
      <c r="M156" s="648"/>
      <c r="N156" s="648"/>
      <c r="O156" s="648"/>
      <c r="P156" s="648"/>
      <c r="Q156" s="648"/>
      <c r="R156" s="649"/>
    </row>
    <row r="157" spans="4:18" ht="15.75" customHeight="1">
      <c r="D157" s="477"/>
      <c r="E157" s="647" t="s">
        <v>748</v>
      </c>
      <c r="F157" s="648"/>
      <c r="G157" s="648"/>
      <c r="H157" s="648"/>
      <c r="I157" s="648"/>
      <c r="J157" s="648"/>
      <c r="K157" s="648"/>
      <c r="L157" s="648"/>
      <c r="M157" s="648"/>
      <c r="N157" s="648"/>
      <c r="O157" s="648"/>
      <c r="P157" s="648"/>
      <c r="Q157" s="648"/>
      <c r="R157" s="649"/>
    </row>
    <row r="158" spans="4:18" ht="39.75" customHeight="1">
      <c r="D158" s="477">
        <v>1</v>
      </c>
      <c r="E158" s="670" t="s">
        <v>733</v>
      </c>
      <c r="F158" s="670" t="s">
        <v>14</v>
      </c>
      <c r="G158" s="670">
        <v>100</v>
      </c>
      <c r="H158" s="670">
        <v>100</v>
      </c>
      <c r="I158" s="653"/>
      <c r="J158" s="653"/>
      <c r="K158" s="653"/>
      <c r="L158" s="653"/>
      <c r="M158" s="653"/>
      <c r="N158" s="653"/>
      <c r="O158" s="653"/>
      <c r="P158" s="653"/>
      <c r="Q158" s="653"/>
      <c r="R158" s="653"/>
    </row>
    <row r="159" spans="4:18" ht="50.25" customHeight="1">
      <c r="D159" s="477">
        <v>2</v>
      </c>
      <c r="E159" s="670" t="s">
        <v>734</v>
      </c>
      <c r="F159" s="670" t="s">
        <v>14</v>
      </c>
      <c r="G159" s="670">
        <v>100</v>
      </c>
      <c r="H159" s="670">
        <v>100</v>
      </c>
      <c r="I159" s="653"/>
      <c r="J159" s="653"/>
      <c r="K159" s="653"/>
      <c r="L159" s="653"/>
      <c r="M159" s="653"/>
      <c r="N159" s="653"/>
      <c r="O159" s="653"/>
      <c r="P159" s="653"/>
      <c r="Q159" s="653"/>
      <c r="R159" s="653"/>
    </row>
    <row r="160" spans="4:18" ht="15" customHeight="1">
      <c r="D160" s="477">
        <v>3</v>
      </c>
      <c r="E160" s="670" t="s">
        <v>735</v>
      </c>
      <c r="F160" s="671" t="s">
        <v>736</v>
      </c>
      <c r="G160" s="670" t="s">
        <v>623</v>
      </c>
      <c r="H160" s="670" t="s">
        <v>623</v>
      </c>
      <c r="I160" s="653"/>
      <c r="J160" s="653"/>
      <c r="K160" s="653"/>
      <c r="L160" s="653"/>
      <c r="M160" s="653"/>
      <c r="N160" s="653"/>
      <c r="O160" s="653"/>
      <c r="P160" s="653"/>
      <c r="Q160" s="653"/>
      <c r="R160" s="653"/>
    </row>
    <row r="161" spans="4:18" ht="15.75" customHeight="1">
      <c r="D161" s="477"/>
      <c r="E161" s="480" t="s">
        <v>695</v>
      </c>
      <c r="F161" s="589"/>
      <c r="G161" s="484"/>
      <c r="H161" s="484"/>
      <c r="I161" s="489">
        <v>100</v>
      </c>
      <c r="J161" s="489">
        <v>3</v>
      </c>
      <c r="K161" s="653"/>
      <c r="L161" s="653"/>
      <c r="M161" s="653"/>
      <c r="N161" s="653"/>
      <c r="O161" s="653"/>
      <c r="P161" s="653"/>
      <c r="Q161" s="653"/>
      <c r="R161" s="653"/>
    </row>
    <row r="162" spans="4:18" ht="28.5">
      <c r="D162" s="477"/>
      <c r="E162" s="480" t="s">
        <v>694</v>
      </c>
      <c r="F162" s="655"/>
      <c r="G162" s="484"/>
      <c r="H162" s="484"/>
      <c r="I162" s="489">
        <v>0</v>
      </c>
      <c r="J162" s="489">
        <v>0</v>
      </c>
      <c r="K162" s="669"/>
      <c r="L162" s="669"/>
      <c r="M162" s="669"/>
      <c r="N162" s="669"/>
      <c r="O162" s="669"/>
      <c r="P162" s="669"/>
      <c r="Q162" s="653"/>
      <c r="R162" s="653"/>
    </row>
    <row r="163" spans="4:18" ht="57">
      <c r="D163" s="569"/>
      <c r="E163" s="486" t="s">
        <v>600</v>
      </c>
      <c r="F163" s="487"/>
      <c r="G163" s="479"/>
      <c r="H163" s="479"/>
      <c r="I163" s="479"/>
      <c r="J163" s="489" t="s">
        <v>737</v>
      </c>
      <c r="K163" s="479"/>
      <c r="L163" s="479"/>
      <c r="M163" s="488"/>
      <c r="N163" s="488"/>
      <c r="O163" s="488"/>
      <c r="P163" s="489" t="s">
        <v>738</v>
      </c>
      <c r="Q163" s="490" t="s">
        <v>739</v>
      </c>
      <c r="R163" s="489" t="s">
        <v>740</v>
      </c>
    </row>
    <row r="164" spans="4:18" ht="18.75">
      <c r="D164" s="495"/>
      <c r="E164" s="736"/>
      <c r="F164" s="737"/>
      <c r="G164" s="738"/>
      <c r="H164" s="738"/>
      <c r="I164" s="738"/>
      <c r="J164" s="739"/>
      <c r="K164" s="738"/>
      <c r="L164" s="738"/>
      <c r="M164" s="740"/>
      <c r="N164" s="740"/>
      <c r="O164" s="740"/>
      <c r="P164" s="739"/>
      <c r="Q164" s="741"/>
      <c r="R164" s="739"/>
    </row>
    <row r="165" spans="4:18" ht="18.75">
      <c r="D165" s="495"/>
      <c r="E165" s="736"/>
      <c r="F165" s="737"/>
      <c r="G165" s="738"/>
      <c r="H165" s="738"/>
      <c r="I165" s="738"/>
      <c r="J165" s="739"/>
      <c r="K165" s="738"/>
      <c r="L165" s="738"/>
      <c r="M165" s="740"/>
      <c r="N165" s="740"/>
      <c r="O165" s="740"/>
      <c r="P165" s="739"/>
      <c r="Q165" s="741"/>
      <c r="R165" s="739"/>
    </row>
    <row r="166" spans="4:18" ht="18.75">
      <c r="D166" s="495"/>
      <c r="E166" s="736"/>
      <c r="F166" s="737"/>
      <c r="G166" s="738"/>
      <c r="H166" s="738"/>
      <c r="I166" s="738"/>
      <c r="J166" s="739"/>
      <c r="K166" s="738"/>
      <c r="L166" s="738"/>
      <c r="M166" s="740"/>
      <c r="N166" s="740"/>
      <c r="O166" s="740"/>
      <c r="P166" s="739"/>
      <c r="Q166" s="741"/>
      <c r="R166" s="739"/>
    </row>
    <row r="167" spans="4:18" ht="18.75">
      <c r="D167" s="495"/>
      <c r="E167" s="736"/>
      <c r="F167" s="737"/>
      <c r="G167" s="738"/>
      <c r="H167" s="738"/>
      <c r="I167" s="738"/>
      <c r="J167" s="739"/>
      <c r="K167" s="738"/>
      <c r="L167" s="738"/>
      <c r="M167" s="740"/>
      <c r="N167" s="740"/>
      <c r="O167" s="740"/>
      <c r="P167" s="739"/>
      <c r="Q167" s="741"/>
      <c r="R167" s="739"/>
    </row>
    <row r="168" spans="4:18" ht="18.75">
      <c r="D168" s="495"/>
      <c r="E168" s="736"/>
      <c r="F168" s="737"/>
      <c r="G168" s="738"/>
      <c r="H168" s="738"/>
      <c r="I168" s="738"/>
      <c r="J168" s="739"/>
      <c r="K168" s="738"/>
      <c r="L168" s="738"/>
      <c r="M168" s="740"/>
      <c r="N168" s="740"/>
      <c r="O168" s="740"/>
      <c r="P168" s="739"/>
      <c r="Q168" s="741"/>
      <c r="R168" s="739"/>
    </row>
    <row r="169" spans="4:18" ht="18.75">
      <c r="D169" s="495"/>
      <c r="E169" s="736"/>
      <c r="F169" s="737"/>
      <c r="G169" s="738"/>
      <c r="H169" s="738"/>
      <c r="I169" s="738"/>
      <c r="J169" s="739"/>
      <c r="K169" s="738"/>
      <c r="L169" s="738"/>
      <c r="M169" s="740"/>
      <c r="N169" s="740"/>
      <c r="O169" s="740"/>
      <c r="P169" s="739"/>
      <c r="Q169" s="741"/>
      <c r="R169" s="739"/>
    </row>
    <row r="170" spans="4:18" ht="18.75">
      <c r="D170" s="495"/>
      <c r="E170" s="736"/>
      <c r="F170" s="737"/>
      <c r="G170" s="738"/>
      <c r="H170" s="738"/>
      <c r="I170" s="738"/>
      <c r="J170" s="739"/>
      <c r="K170" s="738"/>
      <c r="L170" s="738"/>
      <c r="M170" s="740"/>
      <c r="N170" s="740"/>
      <c r="O170" s="740"/>
      <c r="P170" s="739"/>
      <c r="Q170" s="741"/>
      <c r="R170" s="739"/>
    </row>
    <row r="171" spans="4:18" ht="18.75">
      <c r="D171" s="495"/>
      <c r="E171" s="736"/>
      <c r="F171" s="737"/>
      <c r="G171" s="738"/>
      <c r="H171" s="738"/>
      <c r="I171" s="738"/>
      <c r="J171" s="739"/>
      <c r="K171" s="738"/>
      <c r="L171" s="738"/>
      <c r="M171" s="740"/>
      <c r="N171" s="740"/>
      <c r="O171" s="740"/>
      <c r="P171" s="739"/>
      <c r="Q171" s="741"/>
      <c r="R171" s="739"/>
    </row>
    <row r="172" spans="4:18" ht="18.75">
      <c r="D172" s="495"/>
      <c r="E172" s="736"/>
      <c r="F172" s="737"/>
      <c r="G172" s="738"/>
      <c r="H172" s="738"/>
      <c r="I172" s="738"/>
      <c r="J172" s="739"/>
      <c r="K172" s="738"/>
      <c r="L172" s="738"/>
      <c r="M172" s="740"/>
      <c r="N172" s="740"/>
      <c r="O172" s="740"/>
      <c r="P172" s="739"/>
      <c r="Q172" s="741"/>
      <c r="R172" s="739"/>
    </row>
    <row r="173" spans="4:18" ht="18.75">
      <c r="D173" s="495"/>
      <c r="E173" s="736"/>
      <c r="F173" s="737"/>
      <c r="G173" s="738"/>
      <c r="H173" s="738"/>
      <c r="I173" s="738"/>
      <c r="J173" s="739"/>
      <c r="K173" s="738"/>
      <c r="L173" s="738"/>
      <c r="M173" s="740"/>
      <c r="N173" s="740"/>
      <c r="O173" s="740"/>
      <c r="P173" s="739"/>
      <c r="Q173" s="741"/>
      <c r="R173" s="739"/>
    </row>
    <row r="174" spans="4:21" ht="51.75" customHeight="1">
      <c r="D174" s="578" t="s">
        <v>625</v>
      </c>
      <c r="E174" s="724"/>
      <c r="F174" s="724"/>
      <c r="G174" s="724"/>
      <c r="H174" s="724"/>
      <c r="I174" s="724"/>
      <c r="J174" s="724"/>
      <c r="K174" s="724"/>
      <c r="L174" s="724"/>
      <c r="M174" s="724"/>
      <c r="N174" s="724"/>
      <c r="O174" s="724"/>
      <c r="P174" s="724"/>
      <c r="Q174" s="724"/>
      <c r="R174" s="724"/>
      <c r="S174" s="469"/>
      <c r="T174" s="469"/>
      <c r="U174" s="469"/>
    </row>
    <row r="175" spans="4:18" ht="51.75" customHeight="1">
      <c r="D175" s="523" t="s">
        <v>672</v>
      </c>
      <c r="E175" s="523"/>
      <c r="F175" s="523"/>
      <c r="G175" s="523"/>
      <c r="H175" s="523"/>
      <c r="I175" s="523"/>
      <c r="J175" s="523"/>
      <c r="K175" s="523"/>
      <c r="L175" s="523"/>
      <c r="M175" s="523"/>
      <c r="N175" s="523"/>
      <c r="O175" s="523"/>
      <c r="P175" s="523"/>
      <c r="Q175" s="523"/>
      <c r="R175" s="523"/>
    </row>
    <row r="176" spans="4:18" ht="18.75" customHeight="1">
      <c r="D176" s="672" t="s">
        <v>673</v>
      </c>
      <c r="E176" s="673"/>
      <c r="F176" s="673"/>
      <c r="G176" s="674"/>
      <c r="H176" s="674"/>
      <c r="I176" s="674"/>
      <c r="J176" s="674"/>
      <c r="K176" s="674"/>
      <c r="L176" s="674"/>
      <c r="M176" s="674"/>
      <c r="N176" s="674"/>
      <c r="O176" s="674"/>
      <c r="P176" s="674"/>
      <c r="Q176" s="674"/>
      <c r="R176" s="675"/>
    </row>
    <row r="177" spans="4:18" ht="15.75" customHeight="1">
      <c r="D177" s="676" t="s">
        <v>661</v>
      </c>
      <c r="E177" s="677" t="s">
        <v>669</v>
      </c>
      <c r="F177" s="678" t="s">
        <v>626</v>
      </c>
      <c r="G177" s="679">
        <v>1728</v>
      </c>
      <c r="H177" s="680">
        <v>3345</v>
      </c>
      <c r="I177" s="681"/>
      <c r="J177" s="682"/>
      <c r="K177" s="479"/>
      <c r="L177" s="479"/>
      <c r="M177" s="479"/>
      <c r="N177" s="479"/>
      <c r="O177" s="479"/>
      <c r="P177" s="682"/>
      <c r="Q177" s="682"/>
      <c r="R177" s="682"/>
    </row>
    <row r="178" spans="4:18" ht="15" customHeight="1">
      <c r="D178" s="676"/>
      <c r="E178" s="683"/>
      <c r="F178" s="678"/>
      <c r="G178" s="683"/>
      <c r="H178" s="683"/>
      <c r="I178" s="681"/>
      <c r="J178" s="682"/>
      <c r="K178" s="479"/>
      <c r="L178" s="479"/>
      <c r="M178" s="479"/>
      <c r="N178" s="479"/>
      <c r="O178" s="479"/>
      <c r="P178" s="682"/>
      <c r="Q178" s="682"/>
      <c r="R178" s="682"/>
    </row>
    <row r="179" spans="4:18" ht="15.75" customHeight="1">
      <c r="D179" s="676"/>
      <c r="E179" s="683"/>
      <c r="F179" s="678"/>
      <c r="G179" s="683"/>
      <c r="H179" s="683"/>
      <c r="I179" s="681"/>
      <c r="J179" s="682"/>
      <c r="K179" s="479"/>
      <c r="L179" s="479"/>
      <c r="M179" s="479"/>
      <c r="N179" s="479"/>
      <c r="O179" s="479"/>
      <c r="P179" s="682"/>
      <c r="Q179" s="682"/>
      <c r="R179" s="682"/>
    </row>
    <row r="180" spans="4:18" ht="0.75" customHeight="1">
      <c r="D180" s="676"/>
      <c r="E180" s="683"/>
      <c r="F180" s="678"/>
      <c r="G180" s="683"/>
      <c r="H180" s="683"/>
      <c r="I180" s="684"/>
      <c r="J180" s="479"/>
      <c r="K180" s="479"/>
      <c r="L180" s="479"/>
      <c r="M180" s="479"/>
      <c r="N180" s="479"/>
      <c r="O180" s="479"/>
      <c r="P180" s="682"/>
      <c r="Q180" s="479"/>
      <c r="R180" s="479"/>
    </row>
    <row r="181" spans="4:18" ht="16.5" customHeight="1" hidden="1" thickBot="1">
      <c r="D181" s="676"/>
      <c r="E181" s="683"/>
      <c r="F181" s="685"/>
      <c r="G181" s="683"/>
      <c r="H181" s="683"/>
      <c r="I181" s="684"/>
      <c r="J181" s="479"/>
      <c r="K181" s="479"/>
      <c r="L181" s="479"/>
      <c r="M181" s="479"/>
      <c r="N181" s="479"/>
      <c r="O181" s="479"/>
      <c r="P181" s="479"/>
      <c r="Q181" s="479"/>
      <c r="R181" s="479"/>
    </row>
    <row r="182" spans="4:18" ht="16.5" customHeight="1">
      <c r="D182" s="477"/>
      <c r="E182" s="480" t="s">
        <v>695</v>
      </c>
      <c r="F182" s="478"/>
      <c r="G182" s="481"/>
      <c r="H182" s="481"/>
      <c r="I182" s="482">
        <v>100</v>
      </c>
      <c r="J182" s="483">
        <v>3</v>
      </c>
      <c r="K182" s="479"/>
      <c r="L182" s="479"/>
      <c r="M182" s="479"/>
      <c r="N182" s="479"/>
      <c r="O182" s="479"/>
      <c r="P182" s="479"/>
      <c r="Q182" s="479"/>
      <c r="R182" s="479"/>
    </row>
    <row r="183" spans="4:18" ht="33" customHeight="1">
      <c r="D183" s="586"/>
      <c r="E183" s="480" t="s">
        <v>694</v>
      </c>
      <c r="F183" s="656"/>
      <c r="G183" s="656"/>
      <c r="H183" s="656"/>
      <c r="I183" s="686">
        <v>100</v>
      </c>
      <c r="J183" s="686">
        <v>0</v>
      </c>
      <c r="K183" s="631"/>
      <c r="L183" s="632"/>
      <c r="M183" s="633"/>
      <c r="N183" s="633"/>
      <c r="O183" s="633"/>
      <c r="P183" s="633"/>
      <c r="Q183" s="633"/>
      <c r="R183" s="633"/>
    </row>
    <row r="184" spans="4:18" ht="49.5" customHeight="1">
      <c r="D184" s="687" t="s">
        <v>674</v>
      </c>
      <c r="E184" s="659"/>
      <c r="F184" s="659"/>
      <c r="G184" s="659"/>
      <c r="H184" s="659"/>
      <c r="I184" s="659"/>
      <c r="J184" s="659"/>
      <c r="K184" s="659"/>
      <c r="L184" s="659"/>
      <c r="M184" s="659"/>
      <c r="N184" s="659"/>
      <c r="O184" s="659"/>
      <c r="P184" s="659"/>
      <c r="Q184" s="659"/>
      <c r="R184" s="660"/>
    </row>
    <row r="185" spans="4:18" ht="24" customHeight="1">
      <c r="D185" s="590" t="s">
        <v>671</v>
      </c>
      <c r="E185" s="688"/>
      <c r="F185" s="688"/>
      <c r="G185" s="688"/>
      <c r="H185" s="688"/>
      <c r="I185" s="688"/>
      <c r="J185" s="688"/>
      <c r="K185" s="688"/>
      <c r="L185" s="688"/>
      <c r="M185" s="688"/>
      <c r="N185" s="688"/>
      <c r="O185" s="688"/>
      <c r="P185" s="688"/>
      <c r="Q185" s="688"/>
      <c r="R185" s="689"/>
    </row>
    <row r="186" spans="4:18" ht="45" customHeight="1">
      <c r="D186" s="676">
        <v>1</v>
      </c>
      <c r="E186" s="690" t="s">
        <v>675</v>
      </c>
      <c r="F186" s="691" t="s">
        <v>14</v>
      </c>
      <c r="G186" s="678">
        <v>47.5</v>
      </c>
      <c r="H186" s="678">
        <v>52.2</v>
      </c>
      <c r="I186" s="692"/>
      <c r="J186" s="479"/>
      <c r="K186" s="479"/>
      <c r="L186" s="479"/>
      <c r="M186" s="479"/>
      <c r="N186" s="479"/>
      <c r="O186" s="479"/>
      <c r="P186" s="479"/>
      <c r="Q186" s="479"/>
      <c r="R186" s="479"/>
    </row>
    <row r="187" spans="4:18" ht="3.75" customHeight="1" hidden="1">
      <c r="D187" s="676"/>
      <c r="E187" s="690"/>
      <c r="F187" s="693"/>
      <c r="G187" s="678"/>
      <c r="H187" s="678"/>
      <c r="I187" s="479"/>
      <c r="J187" s="479"/>
      <c r="K187" s="479"/>
      <c r="L187" s="479"/>
      <c r="M187" s="479"/>
      <c r="N187" s="479"/>
      <c r="O187" s="479"/>
      <c r="P187" s="479"/>
      <c r="Q187" s="479"/>
      <c r="R187" s="479"/>
    </row>
    <row r="188" spans="4:18" ht="60" customHeight="1" hidden="1">
      <c r="D188" s="676"/>
      <c r="E188" s="690"/>
      <c r="F188" s="691" t="s">
        <v>14</v>
      </c>
      <c r="G188" s="678"/>
      <c r="H188" s="678"/>
      <c r="I188" s="479"/>
      <c r="J188" s="479"/>
      <c r="K188" s="479"/>
      <c r="L188" s="479"/>
      <c r="M188" s="479"/>
      <c r="N188" s="479"/>
      <c r="O188" s="479"/>
      <c r="P188" s="479"/>
      <c r="Q188" s="479"/>
      <c r="R188" s="479"/>
    </row>
    <row r="189" spans="4:18" ht="60" customHeight="1" hidden="1">
      <c r="D189" s="676"/>
      <c r="E189" s="690"/>
      <c r="F189" s="693"/>
      <c r="G189" s="678"/>
      <c r="H189" s="678"/>
      <c r="I189" s="479"/>
      <c r="J189" s="479"/>
      <c r="K189" s="479"/>
      <c r="L189" s="479"/>
      <c r="M189" s="479"/>
      <c r="N189" s="479"/>
      <c r="O189" s="479"/>
      <c r="P189" s="479"/>
      <c r="Q189" s="479"/>
      <c r="R189" s="479"/>
    </row>
    <row r="190" spans="4:18" ht="74.25" customHeight="1" hidden="1" thickBot="1">
      <c r="D190" s="676"/>
      <c r="E190" s="690"/>
      <c r="F190" s="693"/>
      <c r="G190" s="678"/>
      <c r="H190" s="678"/>
      <c r="I190" s="479"/>
      <c r="J190" s="479"/>
      <c r="K190" s="479"/>
      <c r="L190" s="479"/>
      <c r="M190" s="479"/>
      <c r="N190" s="479"/>
      <c r="O190" s="479"/>
      <c r="P190" s="479"/>
      <c r="Q190" s="479"/>
      <c r="R190" s="479"/>
    </row>
    <row r="191" spans="4:18" ht="21.75" customHeight="1">
      <c r="D191" s="644"/>
      <c r="E191" s="480" t="s">
        <v>695</v>
      </c>
      <c r="F191" s="478"/>
      <c r="G191" s="481"/>
      <c r="H191" s="481"/>
      <c r="I191" s="694">
        <v>66.3</v>
      </c>
      <c r="J191" s="695">
        <v>3</v>
      </c>
      <c r="K191" s="696"/>
      <c r="L191" s="696"/>
      <c r="M191" s="696"/>
      <c r="N191" s="696"/>
      <c r="O191" s="696"/>
      <c r="P191" s="696"/>
      <c r="Q191" s="696"/>
      <c r="R191" s="494"/>
    </row>
    <row r="192" spans="4:18" ht="18.75" customHeight="1">
      <c r="D192" s="697"/>
      <c r="E192" s="480" t="s">
        <v>694</v>
      </c>
      <c r="F192" s="484"/>
      <c r="G192" s="484"/>
      <c r="H192" s="484"/>
      <c r="I192" s="485">
        <v>100</v>
      </c>
      <c r="J192" s="485">
        <v>1</v>
      </c>
      <c r="K192" s="696"/>
      <c r="L192" s="696"/>
      <c r="M192" s="696"/>
      <c r="N192" s="696"/>
      <c r="O192" s="696"/>
      <c r="P192" s="696"/>
      <c r="Q192" s="696"/>
      <c r="R192" s="494"/>
    </row>
    <row r="193" spans="4:18" ht="45.75" customHeight="1">
      <c r="D193" s="579" t="s">
        <v>670</v>
      </c>
      <c r="E193" s="659"/>
      <c r="F193" s="659"/>
      <c r="G193" s="659"/>
      <c r="H193" s="659"/>
      <c r="I193" s="659"/>
      <c r="J193" s="659"/>
      <c r="K193" s="659"/>
      <c r="L193" s="659"/>
      <c r="M193" s="659"/>
      <c r="N193" s="659"/>
      <c r="O193" s="659"/>
      <c r="P193" s="659"/>
      <c r="Q193" s="659"/>
      <c r="R193" s="660"/>
    </row>
    <row r="194" spans="4:18" ht="25.5" customHeight="1">
      <c r="D194" s="579" t="s">
        <v>676</v>
      </c>
      <c r="E194" s="661"/>
      <c r="F194" s="661"/>
      <c r="G194" s="661"/>
      <c r="H194" s="661"/>
      <c r="I194" s="661"/>
      <c r="J194" s="661"/>
      <c r="K194" s="661"/>
      <c r="L194" s="661"/>
      <c r="M194" s="661"/>
      <c r="N194" s="661"/>
      <c r="O194" s="661"/>
      <c r="P194" s="661"/>
      <c r="Q194" s="661"/>
      <c r="R194" s="662"/>
    </row>
    <row r="195" spans="4:18" ht="44.25" customHeight="1">
      <c r="D195" s="610">
        <v>1</v>
      </c>
      <c r="E195" s="657" t="s">
        <v>677</v>
      </c>
      <c r="F195" s="614" t="s">
        <v>14</v>
      </c>
      <c r="G195" s="610">
        <v>17</v>
      </c>
      <c r="H195" s="610">
        <v>18.2</v>
      </c>
      <c r="I195" s="610"/>
      <c r="J195" s="610"/>
      <c r="K195" s="610"/>
      <c r="L195" s="610"/>
      <c r="M195" s="610"/>
      <c r="N195" s="610"/>
      <c r="O195" s="610"/>
      <c r="P195" s="610"/>
      <c r="Q195" s="610"/>
      <c r="R195" s="610"/>
    </row>
    <row r="196" spans="4:18" ht="25.5" customHeight="1">
      <c r="D196" s="479"/>
      <c r="E196" s="480" t="s">
        <v>695</v>
      </c>
      <c r="F196" s="478"/>
      <c r="G196" s="481"/>
      <c r="H196" s="481"/>
      <c r="I196" s="482">
        <v>100</v>
      </c>
      <c r="J196" s="483">
        <v>3</v>
      </c>
      <c r="K196" s="479"/>
      <c r="L196" s="479"/>
      <c r="M196" s="479"/>
      <c r="N196" s="479"/>
      <c r="O196" s="479"/>
      <c r="P196" s="479"/>
      <c r="Q196" s="479"/>
      <c r="R196" s="479"/>
    </row>
    <row r="197" spans="4:18" ht="28.5" customHeight="1">
      <c r="D197" s="586"/>
      <c r="E197" s="480" t="s">
        <v>694</v>
      </c>
      <c r="F197" s="484"/>
      <c r="G197" s="484"/>
      <c r="H197" s="484"/>
      <c r="I197" s="485">
        <v>100</v>
      </c>
      <c r="J197" s="485">
        <v>0</v>
      </c>
      <c r="K197" s="636"/>
      <c r="L197" s="610"/>
      <c r="M197" s="611"/>
      <c r="N197" s="611"/>
      <c r="O197" s="611"/>
      <c r="P197" s="637"/>
      <c r="Q197" s="611"/>
      <c r="R197" s="611"/>
    </row>
    <row r="198" spans="4:18" ht="65.25" customHeight="1">
      <c r="D198" s="586"/>
      <c r="E198" s="647" t="s">
        <v>678</v>
      </c>
      <c r="F198" s="648"/>
      <c r="G198" s="648"/>
      <c r="H198" s="648"/>
      <c r="I198" s="648"/>
      <c r="J198" s="648"/>
      <c r="K198" s="648"/>
      <c r="L198" s="648"/>
      <c r="M198" s="648"/>
      <c r="N198" s="648"/>
      <c r="O198" s="648"/>
      <c r="P198" s="648"/>
      <c r="Q198" s="648"/>
      <c r="R198" s="649"/>
    </row>
    <row r="199" spans="4:18" ht="19.5" customHeight="1">
      <c r="D199" s="586"/>
      <c r="E199" s="647" t="s">
        <v>683</v>
      </c>
      <c r="F199" s="648"/>
      <c r="G199" s="648"/>
      <c r="H199" s="648"/>
      <c r="I199" s="648"/>
      <c r="J199" s="648"/>
      <c r="K199" s="648"/>
      <c r="L199" s="648"/>
      <c r="M199" s="648"/>
      <c r="N199" s="648"/>
      <c r="O199" s="648"/>
      <c r="P199" s="648"/>
      <c r="Q199" s="648"/>
      <c r="R199" s="649"/>
    </row>
    <row r="200" spans="4:18" ht="33" customHeight="1">
      <c r="D200" s="586">
        <v>1</v>
      </c>
      <c r="E200" s="478" t="s">
        <v>679</v>
      </c>
      <c r="F200" s="643" t="s">
        <v>14</v>
      </c>
      <c r="G200" s="698">
        <v>100</v>
      </c>
      <c r="H200" s="698">
        <v>100</v>
      </c>
      <c r="I200" s="485"/>
      <c r="J200" s="485"/>
      <c r="K200" s="636"/>
      <c r="L200" s="610"/>
      <c r="M200" s="611"/>
      <c r="N200" s="611"/>
      <c r="O200" s="611"/>
      <c r="P200" s="637"/>
      <c r="Q200" s="611"/>
      <c r="R200" s="611"/>
    </row>
    <row r="201" spans="4:18" ht="36" customHeight="1">
      <c r="D201" s="586">
        <v>2</v>
      </c>
      <c r="E201" s="492" t="s">
        <v>680</v>
      </c>
      <c r="F201" s="484" t="s">
        <v>622</v>
      </c>
      <c r="G201" s="484" t="s">
        <v>623</v>
      </c>
      <c r="H201" s="484" t="s">
        <v>623</v>
      </c>
      <c r="I201" s="699"/>
      <c r="J201" s="485"/>
      <c r="K201" s="636"/>
      <c r="L201" s="610"/>
      <c r="M201" s="611"/>
      <c r="N201" s="611"/>
      <c r="O201" s="611"/>
      <c r="P201" s="637"/>
      <c r="Q201" s="611"/>
      <c r="R201" s="611"/>
    </row>
    <row r="202" spans="4:18" ht="31.5" customHeight="1">
      <c r="D202" s="586">
        <v>3</v>
      </c>
      <c r="E202" s="700" t="s">
        <v>681</v>
      </c>
      <c r="F202" s="484" t="s">
        <v>633</v>
      </c>
      <c r="G202" s="478">
        <v>8</v>
      </c>
      <c r="H202" s="478">
        <v>12</v>
      </c>
      <c r="I202" s="699"/>
      <c r="J202" s="485"/>
      <c r="K202" s="636"/>
      <c r="L202" s="610"/>
      <c r="M202" s="611"/>
      <c r="N202" s="611"/>
      <c r="O202" s="611"/>
      <c r="P202" s="637"/>
      <c r="Q202" s="611"/>
      <c r="R202" s="611"/>
    </row>
    <row r="203" spans="4:18" ht="20.25" customHeight="1">
      <c r="D203" s="586"/>
      <c r="E203" s="480" t="s">
        <v>695</v>
      </c>
      <c r="F203" s="478"/>
      <c r="G203" s="481"/>
      <c r="H203" s="481"/>
      <c r="I203" s="482">
        <v>97.4</v>
      </c>
      <c r="J203" s="483">
        <v>3</v>
      </c>
      <c r="K203" s="636"/>
      <c r="L203" s="610"/>
      <c r="M203" s="611"/>
      <c r="N203" s="611"/>
      <c r="O203" s="611"/>
      <c r="P203" s="637"/>
      <c r="Q203" s="611"/>
      <c r="R203" s="611"/>
    </row>
    <row r="204" spans="4:18" ht="29.25" customHeight="1">
      <c r="D204" s="586"/>
      <c r="E204" s="480" t="s">
        <v>694</v>
      </c>
      <c r="F204" s="484"/>
      <c r="G204" s="484"/>
      <c r="H204" s="484"/>
      <c r="I204" s="485">
        <v>100</v>
      </c>
      <c r="J204" s="485">
        <v>1</v>
      </c>
      <c r="K204" s="636"/>
      <c r="L204" s="610"/>
      <c r="M204" s="611"/>
      <c r="N204" s="611"/>
      <c r="O204" s="611"/>
      <c r="P204" s="637"/>
      <c r="Q204" s="611"/>
      <c r="R204" s="611"/>
    </row>
    <row r="205" spans="4:18" ht="52.5" customHeight="1">
      <c r="D205" s="586"/>
      <c r="E205" s="647" t="s">
        <v>670</v>
      </c>
      <c r="F205" s="648"/>
      <c r="G205" s="648"/>
      <c r="H205" s="648"/>
      <c r="I205" s="648"/>
      <c r="J205" s="648"/>
      <c r="K205" s="648"/>
      <c r="L205" s="648"/>
      <c r="M205" s="648"/>
      <c r="N205" s="648"/>
      <c r="O205" s="648"/>
      <c r="P205" s="648"/>
      <c r="Q205" s="648"/>
      <c r="R205" s="649"/>
    </row>
    <row r="206" spans="4:18" ht="21.75" customHeight="1">
      <c r="D206" s="586"/>
      <c r="E206" s="701" t="s">
        <v>682</v>
      </c>
      <c r="F206" s="650"/>
      <c r="G206" s="650"/>
      <c r="H206" s="650"/>
      <c r="I206" s="650"/>
      <c r="J206" s="650"/>
      <c r="K206" s="650"/>
      <c r="L206" s="650"/>
      <c r="M206" s="650"/>
      <c r="N206" s="650"/>
      <c r="O206" s="650"/>
      <c r="P206" s="650"/>
      <c r="Q206" s="650"/>
      <c r="R206" s="702"/>
    </row>
    <row r="207" spans="4:18" ht="33" customHeight="1">
      <c r="D207" s="599">
        <v>1</v>
      </c>
      <c r="E207" s="478" t="s">
        <v>684</v>
      </c>
      <c r="F207" s="478" t="s">
        <v>14</v>
      </c>
      <c r="G207" s="663">
        <v>20.3</v>
      </c>
      <c r="H207" s="663">
        <v>88.6</v>
      </c>
      <c r="I207" s="489"/>
      <c r="J207" s="489"/>
      <c r="K207" s="635"/>
      <c r="L207" s="479"/>
      <c r="M207" s="488"/>
      <c r="N207" s="488"/>
      <c r="O207" s="488"/>
      <c r="P207" s="488"/>
      <c r="Q207" s="488"/>
      <c r="R207" s="488"/>
    </row>
    <row r="208" spans="4:18" ht="17.25" customHeight="1">
      <c r="D208" s="586"/>
      <c r="E208" s="480" t="s">
        <v>695</v>
      </c>
      <c r="F208" s="478"/>
      <c r="G208" s="481"/>
      <c r="H208" s="481"/>
      <c r="I208" s="482">
        <v>100</v>
      </c>
      <c r="J208" s="483">
        <v>3</v>
      </c>
      <c r="K208" s="703"/>
      <c r="L208" s="617"/>
      <c r="M208" s="704"/>
      <c r="N208" s="704"/>
      <c r="O208" s="704"/>
      <c r="P208" s="705"/>
      <c r="Q208" s="704"/>
      <c r="R208" s="704"/>
    </row>
    <row r="209" spans="4:18" ht="30.75" customHeight="1">
      <c r="D209" s="586"/>
      <c r="E209" s="480" t="s">
        <v>694</v>
      </c>
      <c r="F209" s="484"/>
      <c r="G209" s="484"/>
      <c r="H209" s="484"/>
      <c r="I209" s="485">
        <v>100</v>
      </c>
      <c r="J209" s="485">
        <v>0</v>
      </c>
      <c r="K209" s="703"/>
      <c r="L209" s="617"/>
      <c r="M209" s="704"/>
      <c r="N209" s="704"/>
      <c r="O209" s="704"/>
      <c r="P209" s="705"/>
      <c r="Q209" s="704"/>
      <c r="R209" s="704"/>
    </row>
    <row r="210" spans="4:18" ht="63" customHeight="1">
      <c r="D210" s="586"/>
      <c r="E210" s="647" t="s">
        <v>670</v>
      </c>
      <c r="F210" s="648"/>
      <c r="G210" s="648"/>
      <c r="H210" s="648"/>
      <c r="I210" s="648"/>
      <c r="J210" s="648"/>
      <c r="K210" s="648"/>
      <c r="L210" s="648"/>
      <c r="M210" s="648"/>
      <c r="N210" s="648"/>
      <c r="O210" s="648"/>
      <c r="P210" s="648"/>
      <c r="Q210" s="648"/>
      <c r="R210" s="649"/>
    </row>
    <row r="211" spans="4:18" ht="24.75" customHeight="1">
      <c r="D211" s="586"/>
      <c r="E211" s="701" t="s">
        <v>685</v>
      </c>
      <c r="F211" s="650"/>
      <c r="G211" s="650"/>
      <c r="H211" s="650"/>
      <c r="I211" s="648"/>
      <c r="J211" s="648"/>
      <c r="K211" s="648"/>
      <c r="L211" s="648"/>
      <c r="M211" s="648"/>
      <c r="N211" s="648"/>
      <c r="O211" s="648"/>
      <c r="P211" s="648"/>
      <c r="Q211" s="648"/>
      <c r="R211" s="649"/>
    </row>
    <row r="212" spans="4:24" ht="54" customHeight="1">
      <c r="D212" s="599">
        <v>1</v>
      </c>
      <c r="E212" s="706" t="s">
        <v>687</v>
      </c>
      <c r="F212" s="599" t="s">
        <v>686</v>
      </c>
      <c r="G212" s="586">
        <v>12.3</v>
      </c>
      <c r="H212" s="586">
        <v>12.6</v>
      </c>
      <c r="I212" s="652"/>
      <c r="J212" s="653"/>
      <c r="K212" s="653"/>
      <c r="L212" s="653"/>
      <c r="M212" s="653"/>
      <c r="N212" s="653"/>
      <c r="O212" s="653"/>
      <c r="P212" s="653"/>
      <c r="Q212" s="653"/>
      <c r="R212" s="653"/>
      <c r="X212" s="476"/>
    </row>
    <row r="213" spans="4:18" ht="50.25" customHeight="1">
      <c r="D213" s="707">
        <v>2</v>
      </c>
      <c r="E213" s="708" t="s">
        <v>688</v>
      </c>
      <c r="F213" s="707" t="s">
        <v>686</v>
      </c>
      <c r="G213" s="586">
        <v>14.5</v>
      </c>
      <c r="H213" s="586">
        <v>14.3</v>
      </c>
      <c r="I213" s="709"/>
      <c r="J213" s="669"/>
      <c r="K213" s="669"/>
      <c r="L213" s="669"/>
      <c r="M213" s="669"/>
      <c r="N213" s="669"/>
      <c r="O213" s="669"/>
      <c r="P213" s="669"/>
      <c r="Q213" s="669"/>
      <c r="R213" s="669"/>
    </row>
    <row r="214" spans="4:18" ht="27.75" customHeight="1">
      <c r="D214" s="707"/>
      <c r="E214" s="480" t="s">
        <v>695</v>
      </c>
      <c r="F214" s="478"/>
      <c r="G214" s="481"/>
      <c r="H214" s="481"/>
      <c r="I214" s="482">
        <v>94.1</v>
      </c>
      <c r="J214" s="483">
        <v>3</v>
      </c>
      <c r="K214" s="669"/>
      <c r="L214" s="669"/>
      <c r="M214" s="669"/>
      <c r="N214" s="669"/>
      <c r="O214" s="669"/>
      <c r="P214" s="669"/>
      <c r="Q214" s="669"/>
      <c r="R214" s="669"/>
    </row>
    <row r="215" spans="4:18" ht="27" customHeight="1">
      <c r="D215" s="586"/>
      <c r="E215" s="480" t="s">
        <v>694</v>
      </c>
      <c r="F215" s="484"/>
      <c r="G215" s="484"/>
      <c r="H215" s="484"/>
      <c r="I215" s="485">
        <v>100</v>
      </c>
      <c r="J215" s="485">
        <v>1</v>
      </c>
      <c r="K215" s="653"/>
      <c r="L215" s="653"/>
      <c r="M215" s="653"/>
      <c r="N215" s="653"/>
      <c r="O215" s="653"/>
      <c r="P215" s="653"/>
      <c r="Q215" s="653"/>
      <c r="R215" s="653"/>
    </row>
    <row r="216" spans="4:18" ht="60" customHeight="1">
      <c r="D216" s="569"/>
      <c r="E216" s="486" t="s">
        <v>600</v>
      </c>
      <c r="F216" s="487"/>
      <c r="G216" s="479"/>
      <c r="H216" s="479"/>
      <c r="I216" s="479"/>
      <c r="J216" s="489" t="s">
        <v>690</v>
      </c>
      <c r="K216" s="479"/>
      <c r="L216" s="479"/>
      <c r="M216" s="488"/>
      <c r="N216" s="488"/>
      <c r="O216" s="488"/>
      <c r="P216" s="489" t="s">
        <v>725</v>
      </c>
      <c r="Q216" s="490" t="s">
        <v>644</v>
      </c>
      <c r="R216" s="489" t="s">
        <v>689</v>
      </c>
    </row>
    <row r="217" spans="4:18" ht="60" customHeight="1">
      <c r="D217" s="495"/>
      <c r="E217" s="736"/>
      <c r="F217" s="737"/>
      <c r="G217" s="738"/>
      <c r="H217" s="738"/>
      <c r="I217" s="738"/>
      <c r="J217" s="739"/>
      <c r="K217" s="738"/>
      <c r="L217" s="738"/>
      <c r="M217" s="740"/>
      <c r="N217" s="740"/>
      <c r="O217" s="740"/>
      <c r="P217" s="739"/>
      <c r="Q217" s="741"/>
      <c r="R217" s="739"/>
    </row>
    <row r="218" spans="4:18" ht="60" customHeight="1">
      <c r="D218" s="495"/>
      <c r="E218" s="736"/>
      <c r="F218" s="737"/>
      <c r="G218" s="738"/>
      <c r="H218" s="738"/>
      <c r="I218" s="738"/>
      <c r="J218" s="739"/>
      <c r="K218" s="738"/>
      <c r="L218" s="738"/>
      <c r="M218" s="740"/>
      <c r="N218" s="740"/>
      <c r="O218" s="740"/>
      <c r="P218" s="739"/>
      <c r="Q218" s="741"/>
      <c r="R218" s="739"/>
    </row>
    <row r="219" spans="4:18" ht="60" customHeight="1">
      <c r="D219" s="495"/>
      <c r="E219" s="736"/>
      <c r="F219" s="737"/>
      <c r="G219" s="738"/>
      <c r="H219" s="738"/>
      <c r="I219" s="738"/>
      <c r="J219" s="739"/>
      <c r="K219" s="738"/>
      <c r="L219" s="738"/>
      <c r="M219" s="740"/>
      <c r="N219" s="740"/>
      <c r="O219" s="740"/>
      <c r="P219" s="739"/>
      <c r="Q219" s="741"/>
      <c r="R219" s="739"/>
    </row>
    <row r="220" spans="4:18" ht="60" customHeight="1">
      <c r="D220" s="495"/>
      <c r="E220" s="736"/>
      <c r="F220" s="737"/>
      <c r="G220" s="738"/>
      <c r="H220" s="738"/>
      <c r="I220" s="738"/>
      <c r="J220" s="739"/>
      <c r="K220" s="738"/>
      <c r="L220" s="738"/>
      <c r="M220" s="740"/>
      <c r="N220" s="740"/>
      <c r="O220" s="740"/>
      <c r="P220" s="739"/>
      <c r="Q220" s="741"/>
      <c r="R220" s="739"/>
    </row>
    <row r="221" spans="4:18" ht="60" customHeight="1">
      <c r="D221" s="495"/>
      <c r="E221" s="736"/>
      <c r="F221" s="737"/>
      <c r="G221" s="738"/>
      <c r="H221" s="738"/>
      <c r="I221" s="738"/>
      <c r="J221" s="739"/>
      <c r="K221" s="738"/>
      <c r="L221" s="738"/>
      <c r="M221" s="740"/>
      <c r="N221" s="740"/>
      <c r="O221" s="740"/>
      <c r="P221" s="739"/>
      <c r="Q221" s="741"/>
      <c r="R221" s="739"/>
    </row>
    <row r="222" spans="4:18" ht="60" customHeight="1">
      <c r="D222" s="495"/>
      <c r="E222" s="736"/>
      <c r="F222" s="737"/>
      <c r="G222" s="738"/>
      <c r="H222" s="738"/>
      <c r="I222" s="738"/>
      <c r="J222" s="739"/>
      <c r="K222" s="738"/>
      <c r="L222" s="738"/>
      <c r="M222" s="740"/>
      <c r="N222" s="740"/>
      <c r="O222" s="740"/>
      <c r="P222" s="739"/>
      <c r="Q222" s="741"/>
      <c r="R222" s="739"/>
    </row>
    <row r="223" spans="4:20" ht="40.5" customHeight="1">
      <c r="D223" s="578" t="s">
        <v>642</v>
      </c>
      <c r="E223" s="578"/>
      <c r="F223" s="578"/>
      <c r="G223" s="578"/>
      <c r="H223" s="578"/>
      <c r="I223" s="578"/>
      <c r="J223" s="578"/>
      <c r="K223" s="578"/>
      <c r="L223" s="578"/>
      <c r="M223" s="578"/>
      <c r="N223" s="578"/>
      <c r="O223" s="578"/>
      <c r="P223" s="578"/>
      <c r="Q223" s="578"/>
      <c r="R223" s="578"/>
      <c r="S223" s="469"/>
      <c r="T223" s="469"/>
    </row>
    <row r="224" spans="4:18" ht="36.75" customHeight="1">
      <c r="D224" s="523" t="s">
        <v>664</v>
      </c>
      <c r="E224" s="523"/>
      <c r="F224" s="523"/>
      <c r="G224" s="523"/>
      <c r="H224" s="523"/>
      <c r="I224" s="523"/>
      <c r="J224" s="523"/>
      <c r="K224" s="523"/>
      <c r="L224" s="523"/>
      <c r="M224" s="523"/>
      <c r="N224" s="523"/>
      <c r="O224" s="523"/>
      <c r="P224" s="523"/>
      <c r="Q224" s="523"/>
      <c r="R224" s="523"/>
    </row>
    <row r="225" spans="4:18" ht="32.25" customHeight="1">
      <c r="D225" s="579" t="s">
        <v>665</v>
      </c>
      <c r="E225" s="580"/>
      <c r="F225" s="580"/>
      <c r="G225" s="591"/>
      <c r="H225" s="591"/>
      <c r="I225" s="580"/>
      <c r="J225" s="580"/>
      <c r="K225" s="580"/>
      <c r="L225" s="580"/>
      <c r="M225" s="580"/>
      <c r="N225" s="580"/>
      <c r="O225" s="580"/>
      <c r="P225" s="580"/>
      <c r="Q225" s="580"/>
      <c r="R225" s="581"/>
    </row>
    <row r="226" spans="4:18" ht="18" customHeight="1">
      <c r="D226" s="477">
        <v>1</v>
      </c>
      <c r="E226" s="710" t="s">
        <v>627</v>
      </c>
      <c r="F226" s="492" t="s">
        <v>633</v>
      </c>
      <c r="G226" s="585">
        <v>280</v>
      </c>
      <c r="H226" s="585">
        <v>310</v>
      </c>
      <c r="I226" s="494"/>
      <c r="J226" s="479"/>
      <c r="K226" s="479"/>
      <c r="L226" s="479"/>
      <c r="M226" s="479"/>
      <c r="N226" s="479"/>
      <c r="O226" s="479"/>
      <c r="P226" s="479"/>
      <c r="Q226" s="479"/>
      <c r="R226" s="479"/>
    </row>
    <row r="227" spans="4:18" ht="54.75" customHeight="1">
      <c r="D227" s="477">
        <v>2</v>
      </c>
      <c r="E227" s="711" t="s">
        <v>628</v>
      </c>
      <c r="F227" s="492" t="s">
        <v>511</v>
      </c>
      <c r="G227" s="712">
        <v>2290</v>
      </c>
      <c r="H227" s="712">
        <v>3100</v>
      </c>
      <c r="I227" s="494"/>
      <c r="J227" s="479"/>
      <c r="K227" s="479"/>
      <c r="L227" s="479"/>
      <c r="M227" s="479"/>
      <c r="N227" s="479"/>
      <c r="O227" s="479"/>
      <c r="P227" s="479"/>
      <c r="Q227" s="479"/>
      <c r="R227" s="479"/>
    </row>
    <row r="228" spans="4:18" ht="92.25" customHeight="1">
      <c r="D228" s="477">
        <v>3</v>
      </c>
      <c r="E228" s="711" t="s">
        <v>629</v>
      </c>
      <c r="F228" s="492" t="s">
        <v>14</v>
      </c>
      <c r="G228" s="585">
        <v>28.9</v>
      </c>
      <c r="H228" s="585">
        <v>38.2</v>
      </c>
      <c r="I228" s="494"/>
      <c r="J228" s="479"/>
      <c r="K228" s="479"/>
      <c r="L228" s="479"/>
      <c r="M228" s="479"/>
      <c r="N228" s="479"/>
      <c r="O228" s="479"/>
      <c r="P228" s="479"/>
      <c r="Q228" s="479"/>
      <c r="R228" s="479"/>
    </row>
    <row r="229" spans="4:18" ht="31.5">
      <c r="D229" s="477">
        <v>4</v>
      </c>
      <c r="E229" s="484" t="s">
        <v>630</v>
      </c>
      <c r="F229" s="492" t="s">
        <v>634</v>
      </c>
      <c r="G229" s="713">
        <v>4480.4</v>
      </c>
      <c r="H229" s="585" t="s">
        <v>666</v>
      </c>
      <c r="I229" s="494"/>
      <c r="J229" s="479"/>
      <c r="K229" s="479"/>
      <c r="L229" s="479"/>
      <c r="M229" s="479"/>
      <c r="N229" s="479"/>
      <c r="O229" s="479"/>
      <c r="P229" s="479"/>
      <c r="Q229" s="479"/>
      <c r="R229" s="479"/>
    </row>
    <row r="230" spans="4:18" ht="61.5" customHeight="1">
      <c r="D230" s="477">
        <v>5</v>
      </c>
      <c r="E230" s="711" t="s">
        <v>631</v>
      </c>
      <c r="F230" s="492" t="s">
        <v>14</v>
      </c>
      <c r="G230" s="585">
        <v>16.9</v>
      </c>
      <c r="H230" s="585">
        <v>24.125</v>
      </c>
      <c r="I230" s="494"/>
      <c r="J230" s="479"/>
      <c r="K230" s="479"/>
      <c r="L230" s="479"/>
      <c r="M230" s="479"/>
      <c r="N230" s="479"/>
      <c r="O230" s="479"/>
      <c r="P230" s="479"/>
      <c r="Q230" s="479"/>
      <c r="R230" s="479"/>
    </row>
    <row r="231" spans="4:18" ht="47.25">
      <c r="D231" s="477">
        <v>6</v>
      </c>
      <c r="E231" s="484" t="s">
        <v>632</v>
      </c>
      <c r="F231" s="492" t="s">
        <v>14</v>
      </c>
      <c r="G231" s="585">
        <v>11.5</v>
      </c>
      <c r="H231" s="585">
        <v>8.3</v>
      </c>
      <c r="I231" s="494"/>
      <c r="J231" s="479"/>
      <c r="K231" s="479"/>
      <c r="L231" s="479"/>
      <c r="M231" s="479"/>
      <c r="N231" s="479"/>
      <c r="O231" s="479"/>
      <c r="P231" s="479"/>
      <c r="Q231" s="479"/>
      <c r="R231" s="479"/>
    </row>
    <row r="232" spans="4:18" ht="15">
      <c r="D232" s="477"/>
      <c r="E232" s="480" t="s">
        <v>695</v>
      </c>
      <c r="F232" s="478"/>
      <c r="G232" s="481"/>
      <c r="H232" s="481"/>
      <c r="I232" s="482">
        <v>416.2</v>
      </c>
      <c r="J232" s="483">
        <v>1</v>
      </c>
      <c r="K232" s="610"/>
      <c r="L232" s="610"/>
      <c r="M232" s="610"/>
      <c r="N232" s="610"/>
      <c r="O232" s="610"/>
      <c r="P232" s="714"/>
      <c r="Q232" s="610"/>
      <c r="R232" s="610"/>
    </row>
    <row r="233" spans="4:18" ht="28.5">
      <c r="D233" s="586"/>
      <c r="E233" s="480" t="s">
        <v>694</v>
      </c>
      <c r="F233" s="484"/>
      <c r="G233" s="484"/>
      <c r="H233" s="484"/>
      <c r="I233" s="485">
        <v>83.3</v>
      </c>
      <c r="J233" s="485">
        <v>0</v>
      </c>
      <c r="K233" s="636"/>
      <c r="L233" s="610"/>
      <c r="M233" s="611"/>
      <c r="N233" s="611"/>
      <c r="O233" s="611"/>
      <c r="P233" s="637"/>
      <c r="Q233" s="611"/>
      <c r="R233" s="611"/>
    </row>
    <row r="234" spans="4:18" ht="226.5" customHeight="1">
      <c r="D234" s="477"/>
      <c r="E234" s="664" t="s">
        <v>600</v>
      </c>
      <c r="F234" s="487"/>
      <c r="G234" s="479"/>
      <c r="H234" s="479"/>
      <c r="I234" s="479"/>
      <c r="J234" s="489" t="s">
        <v>692</v>
      </c>
      <c r="K234" s="479"/>
      <c r="L234" s="479"/>
      <c r="M234" s="488"/>
      <c r="N234" s="488"/>
      <c r="O234" s="488"/>
      <c r="P234" s="489" t="s">
        <v>693</v>
      </c>
      <c r="Q234" s="490" t="s">
        <v>667</v>
      </c>
      <c r="R234" s="496" t="s">
        <v>668</v>
      </c>
    </row>
    <row r="235" spans="4:18" ht="145.5" customHeight="1" hidden="1">
      <c r="D235" s="742"/>
      <c r="E235" s="743"/>
      <c r="F235" s="737"/>
      <c r="G235" s="738"/>
      <c r="H235" s="738"/>
      <c r="I235" s="738"/>
      <c r="J235" s="739"/>
      <c r="K235" s="738"/>
      <c r="L235" s="738"/>
      <c r="M235" s="740"/>
      <c r="N235" s="740"/>
      <c r="O235" s="740"/>
      <c r="P235" s="739"/>
      <c r="Q235" s="741"/>
      <c r="R235" s="735"/>
    </row>
    <row r="236" spans="4:18" ht="310.5" customHeight="1">
      <c r="D236" s="742"/>
      <c r="E236" s="743"/>
      <c r="F236" s="737"/>
      <c r="G236" s="738"/>
      <c r="H236" s="738"/>
      <c r="I236" s="738"/>
      <c r="J236" s="739"/>
      <c r="K236" s="738"/>
      <c r="L236" s="738"/>
      <c r="M236" s="740"/>
      <c r="N236" s="740"/>
      <c r="O236" s="740"/>
      <c r="P236" s="739"/>
      <c r="Q236" s="741"/>
      <c r="R236" s="735"/>
    </row>
    <row r="237" spans="4:20" ht="18.75">
      <c r="D237" s="723" t="s">
        <v>635</v>
      </c>
      <c r="E237" s="723"/>
      <c r="F237" s="723"/>
      <c r="G237" s="723"/>
      <c r="H237" s="723"/>
      <c r="I237" s="723"/>
      <c r="J237" s="723"/>
      <c r="K237" s="723"/>
      <c r="L237" s="723"/>
      <c r="M237" s="723"/>
      <c r="N237" s="723"/>
      <c r="O237" s="723"/>
      <c r="P237" s="723"/>
      <c r="Q237" s="723"/>
      <c r="R237" s="723"/>
      <c r="S237" s="469"/>
      <c r="T237" s="469"/>
    </row>
    <row r="238" spans="4:18" ht="44.25" customHeight="1">
      <c r="D238" s="497"/>
      <c r="E238" s="523" t="s">
        <v>756</v>
      </c>
      <c r="F238" s="524"/>
      <c r="G238" s="524"/>
      <c r="H238" s="524"/>
      <c r="I238" s="524"/>
      <c r="J238" s="524"/>
      <c r="K238" s="524"/>
      <c r="L238" s="524"/>
      <c r="M238" s="524"/>
      <c r="N238" s="524"/>
      <c r="O238" s="524"/>
      <c r="P238" s="524"/>
      <c r="Q238" s="524"/>
      <c r="R238" s="524"/>
    </row>
    <row r="239" spans="4:18" ht="43.5" customHeight="1">
      <c r="D239" s="497"/>
      <c r="E239" s="523" t="s">
        <v>757</v>
      </c>
      <c r="F239" s="524"/>
      <c r="G239" s="524"/>
      <c r="H239" s="524"/>
      <c r="I239" s="524"/>
      <c r="J239" s="524"/>
      <c r="K239" s="524"/>
      <c r="L239" s="524"/>
      <c r="M239" s="524"/>
      <c r="N239" s="524"/>
      <c r="O239" s="524"/>
      <c r="P239" s="524"/>
      <c r="Q239" s="524"/>
      <c r="R239" s="524"/>
    </row>
    <row r="240" spans="4:18" ht="29.25" customHeight="1">
      <c r="D240" s="477">
        <v>1</v>
      </c>
      <c r="E240" s="478" t="s">
        <v>637</v>
      </c>
      <c r="F240" s="478" t="s">
        <v>14</v>
      </c>
      <c r="G240" s="479">
        <v>51.2</v>
      </c>
      <c r="H240" s="479">
        <v>53.9</v>
      </c>
      <c r="I240" s="479"/>
      <c r="J240" s="479"/>
      <c r="K240" s="479"/>
      <c r="L240" s="479"/>
      <c r="M240" s="479"/>
      <c r="N240" s="479"/>
      <c r="O240" s="479"/>
      <c r="P240" s="479"/>
      <c r="Q240" s="479"/>
      <c r="R240" s="479"/>
    </row>
    <row r="241" spans="4:18" ht="30.75" customHeight="1">
      <c r="D241" s="477">
        <v>2</v>
      </c>
      <c r="E241" s="478" t="s">
        <v>638</v>
      </c>
      <c r="F241" s="478" t="s">
        <v>14</v>
      </c>
      <c r="G241" s="479">
        <v>46</v>
      </c>
      <c r="H241" s="479">
        <v>47</v>
      </c>
      <c r="I241" s="479"/>
      <c r="J241" s="479"/>
      <c r="K241" s="479"/>
      <c r="L241" s="479"/>
      <c r="M241" s="479"/>
      <c r="N241" s="479"/>
      <c r="O241" s="479"/>
      <c r="P241" s="479"/>
      <c r="Q241" s="479"/>
      <c r="R241" s="479"/>
    </row>
    <row r="242" spans="4:18" ht="43.5" customHeight="1">
      <c r="D242" s="477">
        <v>3</v>
      </c>
      <c r="E242" s="478" t="s">
        <v>639</v>
      </c>
      <c r="F242" s="478" t="s">
        <v>14</v>
      </c>
      <c r="G242" s="479">
        <v>96</v>
      </c>
      <c r="H242" s="479">
        <v>96</v>
      </c>
      <c r="I242" s="479"/>
      <c r="J242" s="479"/>
      <c r="K242" s="479"/>
      <c r="L242" s="479"/>
      <c r="M242" s="479"/>
      <c r="N242" s="479"/>
      <c r="O242" s="479"/>
      <c r="P242" s="479"/>
      <c r="Q242" s="479"/>
      <c r="R242" s="479"/>
    </row>
    <row r="243" spans="4:18" ht="53.25" customHeight="1">
      <c r="D243" s="477">
        <v>4</v>
      </c>
      <c r="E243" s="478" t="s">
        <v>640</v>
      </c>
      <c r="F243" s="478" t="s">
        <v>14</v>
      </c>
      <c r="G243" s="479">
        <v>99.5</v>
      </c>
      <c r="H243" s="479">
        <v>96.4</v>
      </c>
      <c r="I243" s="479"/>
      <c r="J243" s="479"/>
      <c r="K243" s="479"/>
      <c r="L243" s="479"/>
      <c r="M243" s="479"/>
      <c r="N243" s="479"/>
      <c r="O243" s="479"/>
      <c r="P243" s="479"/>
      <c r="Q243" s="479"/>
      <c r="R243" s="479"/>
    </row>
    <row r="244" spans="4:18" ht="59.25" customHeight="1">
      <c r="D244" s="477">
        <v>5</v>
      </c>
      <c r="E244" s="478" t="s">
        <v>641</v>
      </c>
      <c r="F244" s="478" t="s">
        <v>14</v>
      </c>
      <c r="G244" s="479">
        <v>96.5</v>
      </c>
      <c r="H244" s="479">
        <v>100</v>
      </c>
      <c r="I244" s="479"/>
      <c r="J244" s="479"/>
      <c r="K244" s="479"/>
      <c r="L244" s="479"/>
      <c r="M244" s="479"/>
      <c r="N244" s="479"/>
      <c r="O244" s="479"/>
      <c r="P244" s="479"/>
      <c r="Q244" s="479"/>
      <c r="R244" s="479"/>
    </row>
    <row r="245" spans="4:18" ht="18" customHeight="1">
      <c r="D245" s="477"/>
      <c r="E245" s="480" t="s">
        <v>695</v>
      </c>
      <c r="F245" s="478"/>
      <c r="G245" s="481"/>
      <c r="H245" s="481"/>
      <c r="I245" s="482">
        <v>80</v>
      </c>
      <c r="J245" s="483">
        <v>1</v>
      </c>
      <c r="K245" s="479"/>
      <c r="L245" s="479"/>
      <c r="M245" s="479"/>
      <c r="N245" s="479"/>
      <c r="O245" s="479"/>
      <c r="P245" s="479"/>
      <c r="Q245" s="479"/>
      <c r="R245" s="479"/>
    </row>
    <row r="246" spans="4:18" ht="27" customHeight="1">
      <c r="D246" s="477"/>
      <c r="E246" s="480" t="s">
        <v>694</v>
      </c>
      <c r="F246" s="484"/>
      <c r="G246" s="484"/>
      <c r="H246" s="484"/>
      <c r="I246" s="485">
        <v>98.1</v>
      </c>
      <c r="J246" s="485">
        <v>1</v>
      </c>
      <c r="K246" s="479"/>
      <c r="L246" s="479"/>
      <c r="M246" s="479"/>
      <c r="N246" s="479"/>
      <c r="O246" s="479"/>
      <c r="P246" s="479"/>
      <c r="Q246" s="479"/>
      <c r="R246" s="479"/>
    </row>
    <row r="247" spans="4:18" ht="41.25" customHeight="1">
      <c r="D247" s="477"/>
      <c r="E247" s="647" t="s">
        <v>758</v>
      </c>
      <c r="F247" s="648"/>
      <c r="G247" s="648"/>
      <c r="H247" s="648"/>
      <c r="I247" s="648"/>
      <c r="J247" s="648"/>
      <c r="K247" s="648"/>
      <c r="L247" s="648"/>
      <c r="M247" s="648"/>
      <c r="N247" s="648"/>
      <c r="O247" s="648"/>
      <c r="P247" s="648"/>
      <c r="Q247" s="648"/>
      <c r="R247" s="649"/>
    </row>
    <row r="248" spans="4:18" ht="78.75" customHeight="1">
      <c r="D248" s="477"/>
      <c r="E248" s="647" t="s">
        <v>759</v>
      </c>
      <c r="F248" s="648"/>
      <c r="G248" s="648"/>
      <c r="H248" s="648"/>
      <c r="I248" s="648"/>
      <c r="J248" s="648"/>
      <c r="K248" s="648"/>
      <c r="L248" s="648"/>
      <c r="M248" s="648"/>
      <c r="N248" s="648"/>
      <c r="O248" s="648"/>
      <c r="P248" s="648"/>
      <c r="Q248" s="648"/>
      <c r="R248" s="649"/>
    </row>
    <row r="249" spans="4:18" ht="58.5" customHeight="1">
      <c r="D249" s="477">
        <v>1</v>
      </c>
      <c r="E249" s="478" t="s">
        <v>762</v>
      </c>
      <c r="F249" s="478" t="s">
        <v>765</v>
      </c>
      <c r="G249" s="478" t="s">
        <v>763</v>
      </c>
      <c r="H249" s="478" t="s">
        <v>764</v>
      </c>
      <c r="I249" s="478"/>
      <c r="J249" s="478"/>
      <c r="K249" s="479"/>
      <c r="L249" s="479"/>
      <c r="M249" s="479"/>
      <c r="N249" s="479"/>
      <c r="O249" s="479"/>
      <c r="P249" s="479"/>
      <c r="Q249" s="479"/>
      <c r="R249" s="479"/>
    </row>
    <row r="250" spans="4:18" ht="45.75" customHeight="1">
      <c r="D250" s="477">
        <v>2</v>
      </c>
      <c r="E250" s="478" t="s">
        <v>766</v>
      </c>
      <c r="F250" s="478" t="s">
        <v>761</v>
      </c>
      <c r="G250" s="478">
        <v>12</v>
      </c>
      <c r="H250" s="478">
        <v>12</v>
      </c>
      <c r="I250" s="478"/>
      <c r="J250" s="478"/>
      <c r="K250" s="479"/>
      <c r="L250" s="479"/>
      <c r="M250" s="479"/>
      <c r="N250" s="479"/>
      <c r="O250" s="479"/>
      <c r="P250" s="479"/>
      <c r="Q250" s="479"/>
      <c r="R250" s="479"/>
    </row>
    <row r="251" spans="4:18" ht="63" customHeight="1">
      <c r="D251" s="477">
        <v>3</v>
      </c>
      <c r="E251" s="478" t="s">
        <v>760</v>
      </c>
      <c r="F251" s="478" t="s">
        <v>14</v>
      </c>
      <c r="G251" s="478">
        <v>71</v>
      </c>
      <c r="H251" s="478">
        <v>73</v>
      </c>
      <c r="I251" s="478"/>
      <c r="J251" s="478"/>
      <c r="K251" s="479"/>
      <c r="L251" s="479"/>
      <c r="M251" s="479"/>
      <c r="N251" s="479"/>
      <c r="O251" s="479"/>
      <c r="P251" s="479"/>
      <c r="Q251" s="479"/>
      <c r="R251" s="479"/>
    </row>
    <row r="252" spans="4:18" ht="20.25" customHeight="1">
      <c r="D252" s="477"/>
      <c r="E252" s="480" t="s">
        <v>695</v>
      </c>
      <c r="F252" s="478"/>
      <c r="G252" s="481"/>
      <c r="H252" s="481"/>
      <c r="I252" s="482">
        <v>100</v>
      </c>
      <c r="J252" s="483">
        <v>3</v>
      </c>
      <c r="K252" s="480" t="s">
        <v>695</v>
      </c>
      <c r="L252" s="478"/>
      <c r="M252" s="481"/>
      <c r="N252" s="481"/>
      <c r="O252" s="482">
        <v>80</v>
      </c>
      <c r="P252" s="483"/>
      <c r="Q252" s="479"/>
      <c r="R252" s="479"/>
    </row>
    <row r="253" spans="4:18" ht="32.25" customHeight="1">
      <c r="D253" s="477"/>
      <c r="E253" s="480" t="s">
        <v>694</v>
      </c>
      <c r="F253" s="484"/>
      <c r="G253" s="484"/>
      <c r="H253" s="484"/>
      <c r="I253" s="485">
        <v>99.99</v>
      </c>
      <c r="J253" s="485">
        <v>1</v>
      </c>
      <c r="K253" s="480" t="s">
        <v>694</v>
      </c>
      <c r="L253" s="484"/>
      <c r="M253" s="484"/>
      <c r="N253" s="484"/>
      <c r="O253" s="485">
        <v>98.1</v>
      </c>
      <c r="P253" s="485"/>
      <c r="Q253" s="479"/>
      <c r="R253" s="479"/>
    </row>
    <row r="254" spans="4:18" ht="71.25" customHeight="1">
      <c r="D254" s="477"/>
      <c r="E254" s="486" t="s">
        <v>600</v>
      </c>
      <c r="F254" s="487"/>
      <c r="G254" s="479"/>
      <c r="H254" s="479"/>
      <c r="I254" s="478"/>
      <c r="J254" s="489" t="s">
        <v>767</v>
      </c>
      <c r="K254" s="478"/>
      <c r="L254" s="478"/>
      <c r="M254" s="478"/>
      <c r="N254" s="478"/>
      <c r="O254" s="478"/>
      <c r="P254" s="489" t="s">
        <v>809</v>
      </c>
      <c r="Q254" s="490" t="s">
        <v>721</v>
      </c>
      <c r="R254" s="489" t="s">
        <v>722</v>
      </c>
    </row>
    <row r="255" spans="4:18" ht="71.25" customHeight="1">
      <c r="D255" s="742"/>
      <c r="E255" s="736"/>
      <c r="F255" s="737"/>
      <c r="G255" s="738"/>
      <c r="H255" s="738"/>
      <c r="I255" s="744"/>
      <c r="J255" s="739"/>
      <c r="K255" s="744"/>
      <c r="L255" s="744"/>
      <c r="M255" s="744"/>
      <c r="N255" s="744"/>
      <c r="O255" s="744"/>
      <c r="P255" s="739"/>
      <c r="Q255" s="741"/>
      <c r="R255" s="739"/>
    </row>
    <row r="256" spans="4:18" ht="71.25" customHeight="1">
      <c r="D256" s="742"/>
      <c r="E256" s="736"/>
      <c r="F256" s="737"/>
      <c r="G256" s="738"/>
      <c r="H256" s="738"/>
      <c r="I256" s="744"/>
      <c r="J256" s="739"/>
      <c r="K256" s="744"/>
      <c r="L256" s="744"/>
      <c r="M256" s="744"/>
      <c r="N256" s="744"/>
      <c r="O256" s="744"/>
      <c r="P256" s="739"/>
      <c r="Q256" s="741"/>
      <c r="R256" s="739"/>
    </row>
    <row r="257" spans="4:18" ht="71.25" customHeight="1">
      <c r="D257" s="742"/>
      <c r="E257" s="736"/>
      <c r="F257" s="737"/>
      <c r="G257" s="738"/>
      <c r="H257" s="738"/>
      <c r="I257" s="744"/>
      <c r="J257" s="739"/>
      <c r="K257" s="744"/>
      <c r="L257" s="744"/>
      <c r="M257" s="744"/>
      <c r="N257" s="744"/>
      <c r="O257" s="744"/>
      <c r="P257" s="739"/>
      <c r="Q257" s="741"/>
      <c r="R257" s="739"/>
    </row>
    <row r="258" spans="4:18" ht="71.25" customHeight="1">
      <c r="D258" s="742"/>
      <c r="E258" s="736"/>
      <c r="F258" s="737"/>
      <c r="G258" s="738"/>
      <c r="H258" s="738"/>
      <c r="I258" s="744"/>
      <c r="J258" s="739"/>
      <c r="K258" s="744"/>
      <c r="L258" s="744"/>
      <c r="M258" s="744"/>
      <c r="N258" s="744"/>
      <c r="O258" s="744"/>
      <c r="P258" s="739"/>
      <c r="Q258" s="741"/>
      <c r="R258" s="739"/>
    </row>
    <row r="259" spans="4:20" ht="38.25" customHeight="1">
      <c r="D259" s="578" t="s">
        <v>636</v>
      </c>
      <c r="E259" s="578"/>
      <c r="F259" s="578"/>
      <c r="G259" s="578"/>
      <c r="H259" s="578"/>
      <c r="I259" s="578"/>
      <c r="J259" s="578"/>
      <c r="K259" s="578"/>
      <c r="L259" s="578"/>
      <c r="M259" s="578"/>
      <c r="N259" s="578"/>
      <c r="O259" s="578"/>
      <c r="P259" s="578"/>
      <c r="Q259" s="578"/>
      <c r="R259" s="578"/>
      <c r="S259" s="469"/>
      <c r="T259" s="469"/>
    </row>
    <row r="260" spans="4:18" ht="25.5" customHeight="1">
      <c r="D260" s="487"/>
      <c r="E260" s="523" t="s">
        <v>781</v>
      </c>
      <c r="F260" s="725"/>
      <c r="G260" s="725"/>
      <c r="H260" s="725"/>
      <c r="I260" s="725"/>
      <c r="J260" s="725"/>
      <c r="K260" s="725"/>
      <c r="L260" s="725"/>
      <c r="M260" s="725"/>
      <c r="N260" s="725"/>
      <c r="O260" s="725"/>
      <c r="P260" s="725"/>
      <c r="Q260" s="725"/>
      <c r="R260" s="725"/>
    </row>
    <row r="261" spans="4:18" ht="15">
      <c r="D261" s="496"/>
      <c r="E261" s="668" t="s">
        <v>780</v>
      </c>
      <c r="F261" s="715"/>
      <c r="G261" s="715"/>
      <c r="H261" s="715"/>
      <c r="I261" s="715"/>
      <c r="J261" s="715"/>
      <c r="K261" s="715"/>
      <c r="L261" s="715"/>
      <c r="M261" s="715"/>
      <c r="N261" s="715"/>
      <c r="O261" s="715"/>
      <c r="P261" s="715"/>
      <c r="Q261" s="715"/>
      <c r="R261" s="716"/>
    </row>
    <row r="262" spans="4:18" ht="15">
      <c r="D262" s="477">
        <v>1</v>
      </c>
      <c r="E262" s="657" t="s">
        <v>643</v>
      </c>
      <c r="F262" s="717" t="s">
        <v>511</v>
      </c>
      <c r="G262" s="718">
        <v>723</v>
      </c>
      <c r="H262" s="632">
        <v>726</v>
      </c>
      <c r="I262" s="632"/>
      <c r="J262" s="632"/>
      <c r="K262" s="632"/>
      <c r="L262" s="632"/>
      <c r="M262" s="632"/>
      <c r="N262" s="632"/>
      <c r="O262" s="632"/>
      <c r="P262" s="632"/>
      <c r="Q262" s="632"/>
      <c r="R262" s="632"/>
    </row>
    <row r="263" spans="4:18" ht="15">
      <c r="D263" s="477"/>
      <c r="E263" s="480" t="s">
        <v>695</v>
      </c>
      <c r="F263" s="478"/>
      <c r="G263" s="479"/>
      <c r="H263" s="479"/>
      <c r="I263" s="483">
        <v>100</v>
      </c>
      <c r="J263" s="483">
        <v>3</v>
      </c>
      <c r="K263" s="479"/>
      <c r="L263" s="479"/>
      <c r="M263" s="479"/>
      <c r="N263" s="479"/>
      <c r="O263" s="479"/>
      <c r="P263" s="479"/>
      <c r="Q263" s="479"/>
      <c r="R263" s="479"/>
    </row>
    <row r="264" spans="4:18" ht="28.5">
      <c r="D264" s="477"/>
      <c r="E264" s="480" t="s">
        <v>694</v>
      </c>
      <c r="F264" s="478"/>
      <c r="G264" s="479"/>
      <c r="H264" s="479"/>
      <c r="I264" s="483">
        <v>100</v>
      </c>
      <c r="J264" s="483">
        <v>0</v>
      </c>
      <c r="K264" s="479"/>
      <c r="L264" s="479"/>
      <c r="M264" s="479"/>
      <c r="N264" s="479"/>
      <c r="O264" s="479"/>
      <c r="P264" s="479"/>
      <c r="Q264" s="479"/>
      <c r="R264" s="479"/>
    </row>
    <row r="265" spans="4:18" ht="15">
      <c r="D265" s="477"/>
      <c r="E265" s="579" t="s">
        <v>782</v>
      </c>
      <c r="F265" s="580"/>
      <c r="G265" s="580"/>
      <c r="H265" s="580"/>
      <c r="I265" s="580"/>
      <c r="J265" s="580"/>
      <c r="K265" s="580"/>
      <c r="L265" s="580"/>
      <c r="M265" s="580"/>
      <c r="N265" s="580"/>
      <c r="O265" s="580"/>
      <c r="P265" s="580"/>
      <c r="Q265" s="580"/>
      <c r="R265" s="581"/>
    </row>
    <row r="266" spans="4:18" ht="15">
      <c r="D266" s="477"/>
      <c r="E266" s="579" t="s">
        <v>783</v>
      </c>
      <c r="F266" s="580"/>
      <c r="G266" s="580"/>
      <c r="H266" s="580"/>
      <c r="I266" s="580"/>
      <c r="J266" s="580"/>
      <c r="K266" s="580"/>
      <c r="L266" s="580"/>
      <c r="M266" s="580"/>
      <c r="N266" s="580"/>
      <c r="O266" s="580"/>
      <c r="P266" s="580"/>
      <c r="Q266" s="580"/>
      <c r="R266" s="581"/>
    </row>
    <row r="267" spans="4:18" ht="60">
      <c r="D267" s="477">
        <v>1</v>
      </c>
      <c r="E267" s="478" t="s">
        <v>784</v>
      </c>
      <c r="F267" s="478" t="s">
        <v>14</v>
      </c>
      <c r="G267" s="479">
        <v>30</v>
      </c>
      <c r="H267" s="479">
        <v>32</v>
      </c>
      <c r="I267" s="479"/>
      <c r="J267" s="479"/>
      <c r="K267" s="479"/>
      <c r="L267" s="479"/>
      <c r="M267" s="479"/>
      <c r="N267" s="479"/>
      <c r="O267" s="479"/>
      <c r="P267" s="479"/>
      <c r="Q267" s="479"/>
      <c r="R267" s="479"/>
    </row>
    <row r="268" spans="4:18" ht="15">
      <c r="D268" s="477"/>
      <c r="E268" s="480" t="s">
        <v>695</v>
      </c>
      <c r="F268" s="478"/>
      <c r="G268" s="481"/>
      <c r="H268" s="481"/>
      <c r="I268" s="482">
        <v>100</v>
      </c>
      <c r="J268" s="483">
        <v>3</v>
      </c>
      <c r="K268" s="479"/>
      <c r="L268" s="479"/>
      <c r="M268" s="479"/>
      <c r="N268" s="479"/>
      <c r="O268" s="479"/>
      <c r="P268" s="479"/>
      <c r="Q268" s="479"/>
      <c r="R268" s="479"/>
    </row>
    <row r="269" spans="4:18" ht="27.75" customHeight="1">
      <c r="D269" s="477"/>
      <c r="E269" s="480" t="s">
        <v>694</v>
      </c>
      <c r="F269" s="484"/>
      <c r="G269" s="484"/>
      <c r="H269" s="484"/>
      <c r="I269" s="489">
        <v>100</v>
      </c>
      <c r="J269" s="485">
        <v>0</v>
      </c>
      <c r="K269" s="479"/>
      <c r="L269" s="479"/>
      <c r="M269" s="479"/>
      <c r="N269" s="479"/>
      <c r="O269" s="479"/>
      <c r="P269" s="479"/>
      <c r="Q269" s="479"/>
      <c r="R269" s="479"/>
    </row>
    <row r="270" spans="4:18" ht="15.75" customHeight="1">
      <c r="D270" s="477"/>
      <c r="E270" s="647" t="s">
        <v>787</v>
      </c>
      <c r="F270" s="648"/>
      <c r="G270" s="648"/>
      <c r="H270" s="648"/>
      <c r="I270" s="648"/>
      <c r="J270" s="648"/>
      <c r="K270" s="648"/>
      <c r="L270" s="648"/>
      <c r="M270" s="648"/>
      <c r="N270" s="648"/>
      <c r="O270" s="648"/>
      <c r="P270" s="648"/>
      <c r="Q270" s="648"/>
      <c r="R270" s="649"/>
    </row>
    <row r="271" spans="4:18" ht="17.25" customHeight="1">
      <c r="D271" s="477"/>
      <c r="E271" s="647" t="s">
        <v>786</v>
      </c>
      <c r="F271" s="648"/>
      <c r="G271" s="648"/>
      <c r="H271" s="648"/>
      <c r="I271" s="648"/>
      <c r="J271" s="648"/>
      <c r="K271" s="648"/>
      <c r="L271" s="648"/>
      <c r="M271" s="648"/>
      <c r="N271" s="648"/>
      <c r="O271" s="648"/>
      <c r="P271" s="648"/>
      <c r="Q271" s="648"/>
      <c r="R271" s="649"/>
    </row>
    <row r="272" spans="4:18" ht="15" customHeight="1">
      <c r="D272" s="477">
        <v>1</v>
      </c>
      <c r="E272" s="478" t="s">
        <v>788</v>
      </c>
      <c r="F272" s="484" t="s">
        <v>633</v>
      </c>
      <c r="G272" s="478">
        <v>195</v>
      </c>
      <c r="H272" s="478">
        <v>270</v>
      </c>
      <c r="I272" s="485"/>
      <c r="J272" s="485"/>
      <c r="K272" s="479"/>
      <c r="L272" s="479"/>
      <c r="M272" s="479"/>
      <c r="N272" s="479"/>
      <c r="O272" s="479"/>
      <c r="P272" s="479"/>
      <c r="Q272" s="479"/>
      <c r="R272" s="479"/>
    </row>
    <row r="273" spans="4:18" ht="43.5" customHeight="1">
      <c r="D273" s="477">
        <v>2</v>
      </c>
      <c r="E273" s="478" t="s">
        <v>789</v>
      </c>
      <c r="F273" s="484" t="s">
        <v>633</v>
      </c>
      <c r="G273" s="478">
        <v>1</v>
      </c>
      <c r="H273" s="478">
        <v>1</v>
      </c>
      <c r="I273" s="485"/>
      <c r="J273" s="485"/>
      <c r="K273" s="479"/>
      <c r="L273" s="479"/>
      <c r="M273" s="479"/>
      <c r="N273" s="479"/>
      <c r="O273" s="479"/>
      <c r="P273" s="479"/>
      <c r="Q273" s="479"/>
      <c r="R273" s="479"/>
    </row>
    <row r="274" spans="4:18" ht="17.25" customHeight="1">
      <c r="D274" s="477"/>
      <c r="E274" s="480" t="s">
        <v>695</v>
      </c>
      <c r="F274" s="478"/>
      <c r="G274" s="481"/>
      <c r="H274" s="481"/>
      <c r="I274" s="482">
        <v>100</v>
      </c>
      <c r="J274" s="483">
        <v>3</v>
      </c>
      <c r="K274" s="479"/>
      <c r="L274" s="479"/>
      <c r="M274" s="479"/>
      <c r="N274" s="479"/>
      <c r="O274" s="479"/>
      <c r="P274" s="479"/>
      <c r="Q274" s="479"/>
      <c r="R274" s="479"/>
    </row>
    <row r="275" spans="4:18" ht="27.75" customHeight="1">
      <c r="D275" s="477"/>
      <c r="E275" s="480" t="s">
        <v>694</v>
      </c>
      <c r="F275" s="484"/>
      <c r="G275" s="484"/>
      <c r="H275" s="484"/>
      <c r="I275" s="489">
        <v>100</v>
      </c>
      <c r="J275" s="485">
        <v>0</v>
      </c>
      <c r="K275" s="479"/>
      <c r="L275" s="479"/>
      <c r="M275" s="479"/>
      <c r="N275" s="479"/>
      <c r="O275" s="479"/>
      <c r="P275" s="479"/>
      <c r="Q275" s="479"/>
      <c r="R275" s="479"/>
    </row>
    <row r="276" spans="4:18" ht="16.5" customHeight="1">
      <c r="D276" s="477"/>
      <c r="E276" s="647" t="s">
        <v>785</v>
      </c>
      <c r="F276" s="648"/>
      <c r="G276" s="648"/>
      <c r="H276" s="648"/>
      <c r="I276" s="648"/>
      <c r="J276" s="648"/>
      <c r="K276" s="648"/>
      <c r="L276" s="648"/>
      <c r="M276" s="648"/>
      <c r="N276" s="648"/>
      <c r="O276" s="648"/>
      <c r="P276" s="648"/>
      <c r="Q276" s="648"/>
      <c r="R276" s="649"/>
    </row>
    <row r="277" spans="4:18" ht="14.25" customHeight="1">
      <c r="D277" s="477"/>
      <c r="E277" s="647" t="s">
        <v>790</v>
      </c>
      <c r="F277" s="648"/>
      <c r="G277" s="648"/>
      <c r="H277" s="648"/>
      <c r="I277" s="648"/>
      <c r="J277" s="648"/>
      <c r="K277" s="648"/>
      <c r="L277" s="648"/>
      <c r="M277" s="648"/>
      <c r="N277" s="648"/>
      <c r="O277" s="648"/>
      <c r="P277" s="648"/>
      <c r="Q277" s="648"/>
      <c r="R277" s="649"/>
    </row>
    <row r="278" spans="4:18" ht="15" customHeight="1">
      <c r="D278" s="477">
        <v>1</v>
      </c>
      <c r="E278" s="719" t="s">
        <v>791</v>
      </c>
      <c r="F278" s="484" t="s">
        <v>14</v>
      </c>
      <c r="G278" s="478">
        <v>2</v>
      </c>
      <c r="H278" s="478">
        <v>2</v>
      </c>
      <c r="I278" s="485"/>
      <c r="J278" s="485"/>
      <c r="K278" s="479"/>
      <c r="L278" s="479"/>
      <c r="M278" s="479"/>
      <c r="N278" s="479"/>
      <c r="O278" s="479"/>
      <c r="P278" s="479"/>
      <c r="Q278" s="479"/>
      <c r="R278" s="479"/>
    </row>
    <row r="279" spans="4:18" ht="16.5" customHeight="1">
      <c r="D279" s="477">
        <v>2</v>
      </c>
      <c r="E279" s="719" t="s">
        <v>792</v>
      </c>
      <c r="F279" s="484" t="s">
        <v>14</v>
      </c>
      <c r="G279" s="478">
        <v>100</v>
      </c>
      <c r="H279" s="478">
        <v>100</v>
      </c>
      <c r="I279" s="482"/>
      <c r="J279" s="483"/>
      <c r="K279" s="479"/>
      <c r="L279" s="479"/>
      <c r="M279" s="479"/>
      <c r="N279" s="479"/>
      <c r="O279" s="479"/>
      <c r="P279" s="479"/>
      <c r="Q279" s="479"/>
      <c r="R279" s="479"/>
    </row>
    <row r="280" spans="4:18" ht="45.75" customHeight="1">
      <c r="D280" s="477">
        <v>3</v>
      </c>
      <c r="E280" s="719" t="s">
        <v>793</v>
      </c>
      <c r="F280" s="484" t="s">
        <v>633</v>
      </c>
      <c r="G280" s="478">
        <v>1</v>
      </c>
      <c r="H280" s="478">
        <v>1</v>
      </c>
      <c r="I280" s="489"/>
      <c r="J280" s="489"/>
      <c r="K280" s="479"/>
      <c r="L280" s="479"/>
      <c r="M280" s="479"/>
      <c r="N280" s="479"/>
      <c r="O280" s="479"/>
      <c r="P280" s="479"/>
      <c r="Q280" s="479"/>
      <c r="R280" s="479"/>
    </row>
    <row r="281" spans="4:18" ht="18.75" customHeight="1">
      <c r="D281" s="477"/>
      <c r="E281" s="480" t="s">
        <v>695</v>
      </c>
      <c r="F281" s="478"/>
      <c r="G281" s="481"/>
      <c r="H281" s="481"/>
      <c r="I281" s="482">
        <v>100</v>
      </c>
      <c r="J281" s="483">
        <v>3</v>
      </c>
      <c r="K281" s="479"/>
      <c r="L281" s="479"/>
      <c r="M281" s="479"/>
      <c r="N281" s="479"/>
      <c r="O281" s="479"/>
      <c r="P281" s="479"/>
      <c r="Q281" s="479"/>
      <c r="R281" s="479"/>
    </row>
    <row r="282" spans="4:18" ht="31.5" customHeight="1">
      <c r="D282" s="477"/>
      <c r="E282" s="480" t="s">
        <v>694</v>
      </c>
      <c r="F282" s="484"/>
      <c r="G282" s="484"/>
      <c r="H282" s="484"/>
      <c r="I282" s="489">
        <v>100</v>
      </c>
      <c r="J282" s="485">
        <v>0</v>
      </c>
      <c r="K282" s="479"/>
      <c r="L282" s="479"/>
      <c r="M282" s="479"/>
      <c r="N282" s="479"/>
      <c r="O282" s="479"/>
      <c r="P282" s="479"/>
      <c r="Q282" s="479"/>
      <c r="R282" s="479"/>
    </row>
    <row r="283" spans="4:18" ht="16.5" customHeight="1">
      <c r="D283" s="477"/>
      <c r="E283" s="647" t="s">
        <v>794</v>
      </c>
      <c r="F283" s="648"/>
      <c r="G283" s="648"/>
      <c r="H283" s="648"/>
      <c r="I283" s="648"/>
      <c r="J283" s="648"/>
      <c r="K283" s="648"/>
      <c r="L283" s="648"/>
      <c r="M283" s="648"/>
      <c r="N283" s="648"/>
      <c r="O283" s="648"/>
      <c r="P283" s="648"/>
      <c r="Q283" s="648"/>
      <c r="R283" s="649"/>
    </row>
    <row r="284" spans="4:18" ht="16.5" customHeight="1">
      <c r="D284" s="477"/>
      <c r="E284" s="647" t="s">
        <v>795</v>
      </c>
      <c r="F284" s="648"/>
      <c r="G284" s="648"/>
      <c r="H284" s="648"/>
      <c r="I284" s="648"/>
      <c r="J284" s="648"/>
      <c r="K284" s="648"/>
      <c r="L284" s="648"/>
      <c r="M284" s="648"/>
      <c r="N284" s="648"/>
      <c r="O284" s="648"/>
      <c r="P284" s="648"/>
      <c r="Q284" s="648"/>
      <c r="R284" s="649"/>
    </row>
    <row r="285" spans="4:18" ht="29.25" customHeight="1">
      <c r="D285" s="477">
        <v>1</v>
      </c>
      <c r="E285" s="719" t="s">
        <v>796</v>
      </c>
      <c r="F285" s="478" t="s">
        <v>14</v>
      </c>
      <c r="G285" s="720">
        <v>100</v>
      </c>
      <c r="H285" s="720">
        <v>100</v>
      </c>
      <c r="I285" s="482"/>
      <c r="J285" s="483"/>
      <c r="K285" s="479"/>
      <c r="L285" s="479"/>
      <c r="M285" s="479"/>
      <c r="N285" s="479"/>
      <c r="O285" s="479"/>
      <c r="P285" s="479"/>
      <c r="Q285" s="479"/>
      <c r="R285" s="479"/>
    </row>
    <row r="286" spans="4:18" ht="16.5" customHeight="1">
      <c r="D286" s="477"/>
      <c r="E286" s="480" t="s">
        <v>695</v>
      </c>
      <c r="F286" s="478"/>
      <c r="G286" s="481"/>
      <c r="H286" s="481"/>
      <c r="I286" s="482">
        <v>100</v>
      </c>
      <c r="J286" s="483">
        <v>3</v>
      </c>
      <c r="K286" s="479"/>
      <c r="L286" s="479"/>
      <c r="M286" s="479"/>
      <c r="N286" s="479"/>
      <c r="O286" s="479"/>
      <c r="P286" s="479"/>
      <c r="Q286" s="479"/>
      <c r="R286" s="479"/>
    </row>
    <row r="287" spans="4:18" ht="27.75" customHeight="1">
      <c r="D287" s="477"/>
      <c r="E287" s="480" t="s">
        <v>694</v>
      </c>
      <c r="F287" s="484"/>
      <c r="G287" s="484"/>
      <c r="H287" s="484"/>
      <c r="I287" s="489">
        <v>100</v>
      </c>
      <c r="J287" s="485">
        <v>0</v>
      </c>
      <c r="K287" s="479"/>
      <c r="L287" s="479"/>
      <c r="M287" s="479"/>
      <c r="N287" s="479"/>
      <c r="O287" s="479"/>
      <c r="P287" s="479"/>
      <c r="Q287" s="479"/>
      <c r="R287" s="479"/>
    </row>
    <row r="288" spans="4:18" ht="71.25">
      <c r="D288" s="477"/>
      <c r="E288" s="486" t="s">
        <v>600</v>
      </c>
      <c r="F288" s="487"/>
      <c r="G288" s="479"/>
      <c r="H288" s="479"/>
      <c r="I288" s="479"/>
      <c r="J288" s="489" t="s">
        <v>797</v>
      </c>
      <c r="K288" s="478"/>
      <c r="L288" s="478"/>
      <c r="M288" s="478"/>
      <c r="N288" s="478"/>
      <c r="O288" s="478"/>
      <c r="P288" s="489" t="s">
        <v>798</v>
      </c>
      <c r="Q288" s="490" t="s">
        <v>721</v>
      </c>
      <c r="R288" s="489" t="s">
        <v>722</v>
      </c>
    </row>
    <row r="289" spans="4:18" ht="18.75">
      <c r="D289" s="742"/>
      <c r="E289" s="736"/>
      <c r="F289" s="737"/>
      <c r="G289" s="738"/>
      <c r="H289" s="738"/>
      <c r="I289" s="738"/>
      <c r="J289" s="739"/>
      <c r="K289" s="744"/>
      <c r="L289" s="744"/>
      <c r="M289" s="744"/>
      <c r="N289" s="744"/>
      <c r="O289" s="744"/>
      <c r="P289" s="739"/>
      <c r="Q289" s="741"/>
      <c r="R289" s="739"/>
    </row>
    <row r="290" spans="4:18" ht="18.75">
      <c r="D290" s="742"/>
      <c r="E290" s="736"/>
      <c r="F290" s="737"/>
      <c r="G290" s="738"/>
      <c r="H290" s="738"/>
      <c r="I290" s="738"/>
      <c r="J290" s="739"/>
      <c r="K290" s="744"/>
      <c r="L290" s="744"/>
      <c r="M290" s="744"/>
      <c r="N290" s="744"/>
      <c r="O290" s="744"/>
      <c r="P290" s="739"/>
      <c r="Q290" s="741"/>
      <c r="R290" s="739"/>
    </row>
    <row r="291" spans="4:18" ht="18.75">
      <c r="D291" s="742"/>
      <c r="E291" s="736"/>
      <c r="F291" s="737"/>
      <c r="G291" s="738"/>
      <c r="H291" s="738"/>
      <c r="I291" s="738"/>
      <c r="J291" s="739"/>
      <c r="K291" s="744"/>
      <c r="L291" s="744"/>
      <c r="M291" s="744"/>
      <c r="N291" s="744"/>
      <c r="O291" s="744"/>
      <c r="P291" s="739"/>
      <c r="Q291" s="741"/>
      <c r="R291" s="739"/>
    </row>
    <row r="292" spans="4:18" ht="18.75">
      <c r="D292" s="742"/>
      <c r="E292" s="736"/>
      <c r="F292" s="737"/>
      <c r="G292" s="738"/>
      <c r="H292" s="738"/>
      <c r="I292" s="738"/>
      <c r="J292" s="739"/>
      <c r="K292" s="744"/>
      <c r="L292" s="744"/>
      <c r="M292" s="744"/>
      <c r="N292" s="744"/>
      <c r="O292" s="744"/>
      <c r="P292" s="739"/>
      <c r="Q292" s="741"/>
      <c r="R292" s="739"/>
    </row>
    <row r="293" spans="4:18" ht="18.75">
      <c r="D293" s="742"/>
      <c r="E293" s="736"/>
      <c r="F293" s="737"/>
      <c r="G293" s="738"/>
      <c r="H293" s="738"/>
      <c r="I293" s="738"/>
      <c r="J293" s="739"/>
      <c r="K293" s="744"/>
      <c r="L293" s="744"/>
      <c r="M293" s="744"/>
      <c r="N293" s="744"/>
      <c r="O293" s="744"/>
      <c r="P293" s="739"/>
      <c r="Q293" s="741"/>
      <c r="R293" s="739"/>
    </row>
    <row r="294" spans="4:18" ht="18.75">
      <c r="D294" s="742"/>
      <c r="E294" s="736"/>
      <c r="F294" s="737"/>
      <c r="G294" s="738"/>
      <c r="H294" s="738"/>
      <c r="I294" s="738"/>
      <c r="J294" s="739"/>
      <c r="K294" s="744"/>
      <c r="L294" s="744"/>
      <c r="M294" s="744"/>
      <c r="N294" s="744"/>
      <c r="O294" s="744"/>
      <c r="P294" s="739"/>
      <c r="Q294" s="741"/>
      <c r="R294" s="739"/>
    </row>
    <row r="295" spans="4:18" ht="18.75">
      <c r="D295" s="742"/>
      <c r="E295" s="736"/>
      <c r="F295" s="737"/>
      <c r="G295" s="738"/>
      <c r="H295" s="738"/>
      <c r="I295" s="738"/>
      <c r="J295" s="739"/>
      <c r="K295" s="744"/>
      <c r="L295" s="744"/>
      <c r="M295" s="744"/>
      <c r="N295" s="744"/>
      <c r="O295" s="744"/>
      <c r="P295" s="739"/>
      <c r="Q295" s="741"/>
      <c r="R295" s="739"/>
    </row>
    <row r="296" spans="4:18" ht="18.75">
      <c r="D296" s="742"/>
      <c r="E296" s="736"/>
      <c r="F296" s="737"/>
      <c r="G296" s="738"/>
      <c r="H296" s="738"/>
      <c r="I296" s="738"/>
      <c r="J296" s="739"/>
      <c r="K296" s="744"/>
      <c r="L296" s="744"/>
      <c r="M296" s="744"/>
      <c r="N296" s="744"/>
      <c r="O296" s="744"/>
      <c r="P296" s="739"/>
      <c r="Q296" s="741"/>
      <c r="R296" s="739"/>
    </row>
    <row r="297" spans="4:18" ht="18.75">
      <c r="D297" s="742"/>
      <c r="E297" s="736"/>
      <c r="F297" s="737"/>
      <c r="G297" s="738"/>
      <c r="H297" s="738"/>
      <c r="I297" s="738"/>
      <c r="J297" s="739"/>
      <c r="K297" s="744"/>
      <c r="L297" s="744"/>
      <c r="M297" s="744"/>
      <c r="N297" s="744"/>
      <c r="O297" s="744"/>
      <c r="P297" s="739"/>
      <c r="Q297" s="741"/>
      <c r="R297" s="739"/>
    </row>
    <row r="298" spans="4:18" ht="18.75">
      <c r="D298" s="742"/>
      <c r="E298" s="736"/>
      <c r="F298" s="737"/>
      <c r="G298" s="738"/>
      <c r="H298" s="738"/>
      <c r="I298" s="738"/>
      <c r="J298" s="739"/>
      <c r="K298" s="744"/>
      <c r="L298" s="744"/>
      <c r="M298" s="744"/>
      <c r="N298" s="744"/>
      <c r="O298" s="744"/>
      <c r="P298" s="739"/>
      <c r="Q298" s="741"/>
      <c r="R298" s="739"/>
    </row>
    <row r="299" spans="4:18" ht="18.75">
      <c r="D299" s="742"/>
      <c r="E299" s="736"/>
      <c r="F299" s="737"/>
      <c r="G299" s="738"/>
      <c r="H299" s="738"/>
      <c r="I299" s="738"/>
      <c r="J299" s="739"/>
      <c r="K299" s="744"/>
      <c r="L299" s="744"/>
      <c r="M299" s="744"/>
      <c r="N299" s="744"/>
      <c r="O299" s="744"/>
      <c r="P299" s="739"/>
      <c r="Q299" s="741"/>
      <c r="R299" s="739"/>
    </row>
    <row r="300" spans="4:18" ht="18.75">
      <c r="D300" s="742"/>
      <c r="E300" s="736"/>
      <c r="F300" s="737"/>
      <c r="G300" s="738"/>
      <c r="H300" s="738"/>
      <c r="I300" s="738"/>
      <c r="J300" s="739"/>
      <c r="K300" s="744"/>
      <c r="L300" s="744"/>
      <c r="M300" s="744"/>
      <c r="N300" s="744"/>
      <c r="O300" s="744"/>
      <c r="P300" s="739"/>
      <c r="Q300" s="741"/>
      <c r="R300" s="739"/>
    </row>
    <row r="301" spans="4:18" ht="18.75">
      <c r="D301" s="742"/>
      <c r="E301" s="736"/>
      <c r="F301" s="737"/>
      <c r="G301" s="738"/>
      <c r="H301" s="738"/>
      <c r="I301" s="738"/>
      <c r="J301" s="739"/>
      <c r="K301" s="744"/>
      <c r="L301" s="744"/>
      <c r="M301" s="744"/>
      <c r="N301" s="744"/>
      <c r="O301" s="744"/>
      <c r="P301" s="739"/>
      <c r="Q301" s="741"/>
      <c r="R301" s="739"/>
    </row>
    <row r="302" spans="4:18" ht="18.75">
      <c r="D302" s="742"/>
      <c r="E302" s="736"/>
      <c r="F302" s="737"/>
      <c r="G302" s="738"/>
      <c r="H302" s="738"/>
      <c r="I302" s="738"/>
      <c r="J302" s="739"/>
      <c r="K302" s="744"/>
      <c r="L302" s="744"/>
      <c r="M302" s="744"/>
      <c r="N302" s="744"/>
      <c r="O302" s="744"/>
      <c r="P302" s="739"/>
      <c r="Q302" s="741"/>
      <c r="R302" s="739"/>
    </row>
    <row r="303" spans="4:18" ht="18.75">
      <c r="D303" s="742"/>
      <c r="E303" s="736"/>
      <c r="F303" s="737"/>
      <c r="G303" s="738"/>
      <c r="H303" s="738"/>
      <c r="I303" s="738"/>
      <c r="J303" s="739"/>
      <c r="K303" s="744"/>
      <c r="L303" s="744"/>
      <c r="M303" s="744"/>
      <c r="N303" s="744"/>
      <c r="O303" s="744"/>
      <c r="P303" s="739"/>
      <c r="Q303" s="741"/>
      <c r="R303" s="739"/>
    </row>
    <row r="304" spans="4:18" ht="18.75">
      <c r="D304" s="742"/>
      <c r="E304" s="736"/>
      <c r="F304" s="737"/>
      <c r="G304" s="738"/>
      <c r="H304" s="738"/>
      <c r="I304" s="738"/>
      <c r="J304" s="739"/>
      <c r="K304" s="744"/>
      <c r="L304" s="744"/>
      <c r="M304" s="744"/>
      <c r="N304" s="744"/>
      <c r="O304" s="744"/>
      <c r="P304" s="739"/>
      <c r="Q304" s="741"/>
      <c r="R304" s="739"/>
    </row>
    <row r="305" spans="4:18" ht="18.75">
      <c r="D305" s="742"/>
      <c r="E305" s="736"/>
      <c r="F305" s="737"/>
      <c r="G305" s="738"/>
      <c r="H305" s="738"/>
      <c r="I305" s="738"/>
      <c r="J305" s="739"/>
      <c r="K305" s="744"/>
      <c r="L305" s="744"/>
      <c r="M305" s="744"/>
      <c r="N305" s="744"/>
      <c r="O305" s="744"/>
      <c r="P305" s="739"/>
      <c r="Q305" s="741"/>
      <c r="R305" s="739"/>
    </row>
    <row r="306" spans="4:18" ht="18.75">
      <c r="D306" s="742"/>
      <c r="E306" s="736"/>
      <c r="F306" s="737"/>
      <c r="G306" s="738"/>
      <c r="H306" s="738"/>
      <c r="I306" s="738"/>
      <c r="J306" s="739"/>
      <c r="K306" s="744"/>
      <c r="L306" s="744"/>
      <c r="M306" s="744"/>
      <c r="N306" s="744"/>
      <c r="O306" s="744"/>
      <c r="P306" s="739"/>
      <c r="Q306" s="741"/>
      <c r="R306" s="739"/>
    </row>
    <row r="307" spans="4:19" ht="21.75" customHeight="1">
      <c r="D307" s="578" t="s">
        <v>777</v>
      </c>
      <c r="E307" s="578"/>
      <c r="F307" s="578"/>
      <c r="G307" s="578"/>
      <c r="H307" s="578"/>
      <c r="I307" s="578"/>
      <c r="J307" s="578"/>
      <c r="K307" s="578"/>
      <c r="L307" s="578"/>
      <c r="M307" s="578"/>
      <c r="N307" s="578"/>
      <c r="O307" s="578"/>
      <c r="P307" s="578"/>
      <c r="Q307" s="578"/>
      <c r="R307" s="578"/>
      <c r="S307" s="469"/>
    </row>
    <row r="308" spans="4:18" ht="30.75" customHeight="1">
      <c r="D308" s="487"/>
      <c r="E308" s="523" t="s">
        <v>778</v>
      </c>
      <c r="F308" s="523"/>
      <c r="G308" s="523"/>
      <c r="H308" s="523"/>
      <c r="I308" s="523"/>
      <c r="J308" s="523"/>
      <c r="K308" s="523"/>
      <c r="L308" s="523"/>
      <c r="M308" s="523"/>
      <c r="N308" s="523"/>
      <c r="O308" s="523"/>
      <c r="P308" s="523"/>
      <c r="Q308" s="523"/>
      <c r="R308" s="523"/>
    </row>
    <row r="309" spans="4:18" ht="26.25" customHeight="1">
      <c r="D309" s="496"/>
      <c r="E309" s="523" t="s">
        <v>779</v>
      </c>
      <c r="F309" s="524"/>
      <c r="G309" s="524"/>
      <c r="H309" s="524"/>
      <c r="I309" s="524"/>
      <c r="J309" s="524"/>
      <c r="K309" s="524"/>
      <c r="L309" s="524"/>
      <c r="M309" s="524"/>
      <c r="N309" s="524"/>
      <c r="O309" s="524"/>
      <c r="P309" s="524"/>
      <c r="Q309" s="524"/>
      <c r="R309" s="524"/>
    </row>
    <row r="310" spans="4:21" ht="48.75" customHeight="1">
      <c r="D310" s="477">
        <v>1</v>
      </c>
      <c r="E310" s="491" t="s">
        <v>804</v>
      </c>
      <c r="F310" s="492" t="s">
        <v>799</v>
      </c>
      <c r="G310" s="568">
        <v>27470</v>
      </c>
      <c r="H310" s="568">
        <v>28592.3</v>
      </c>
      <c r="I310" s="493"/>
      <c r="J310" s="494"/>
      <c r="K310" s="488"/>
      <c r="L310" s="488"/>
      <c r="M310" s="488"/>
      <c r="N310" s="488"/>
      <c r="O310" s="488"/>
      <c r="P310" s="488"/>
      <c r="Q310" s="488"/>
      <c r="R310" s="488"/>
      <c r="U310" s="256" t="s">
        <v>385</v>
      </c>
    </row>
    <row r="311" spans="4:18" ht="48.75" customHeight="1">
      <c r="D311" s="477">
        <v>2</v>
      </c>
      <c r="E311" s="491" t="s">
        <v>806</v>
      </c>
      <c r="F311" s="492" t="s">
        <v>14</v>
      </c>
      <c r="G311" s="568">
        <v>100</v>
      </c>
      <c r="H311" s="568">
        <v>99</v>
      </c>
      <c r="I311" s="493"/>
      <c r="J311" s="494"/>
      <c r="K311" s="488"/>
      <c r="L311" s="488"/>
      <c r="M311" s="488"/>
      <c r="N311" s="488"/>
      <c r="O311" s="488"/>
      <c r="P311" s="488"/>
      <c r="Q311" s="488"/>
      <c r="R311" s="488"/>
    </row>
    <row r="312" spans="4:18" ht="18.75" customHeight="1">
      <c r="D312" s="477"/>
      <c r="E312" s="480" t="s">
        <v>695</v>
      </c>
      <c r="F312" s="478"/>
      <c r="G312" s="481"/>
      <c r="H312" s="481"/>
      <c r="I312" s="482">
        <v>50</v>
      </c>
      <c r="J312" s="483">
        <v>1</v>
      </c>
      <c r="K312" s="488"/>
      <c r="L312" s="488"/>
      <c r="M312" s="488"/>
      <c r="N312" s="488"/>
      <c r="O312" s="488"/>
      <c r="P312" s="488"/>
      <c r="Q312" s="488"/>
      <c r="R312" s="488"/>
    </row>
    <row r="313" spans="4:18" ht="29.25" customHeight="1">
      <c r="D313" s="477"/>
      <c r="E313" s="480" t="s">
        <v>694</v>
      </c>
      <c r="F313" s="484"/>
      <c r="G313" s="484"/>
      <c r="H313" s="484"/>
      <c r="I313" s="489">
        <v>100</v>
      </c>
      <c r="J313" s="485">
        <v>0</v>
      </c>
      <c r="K313" s="488"/>
      <c r="L313" s="488"/>
      <c r="M313" s="488"/>
      <c r="N313" s="488"/>
      <c r="O313" s="488"/>
      <c r="P313" s="488"/>
      <c r="Q313" s="488"/>
      <c r="R313" s="488"/>
    </row>
    <row r="314" spans="4:18" ht="24" customHeight="1">
      <c r="D314" s="477"/>
      <c r="E314" s="647" t="s">
        <v>778</v>
      </c>
      <c r="F314" s="648"/>
      <c r="G314" s="648"/>
      <c r="H314" s="648"/>
      <c r="I314" s="648"/>
      <c r="J314" s="648"/>
      <c r="K314" s="648"/>
      <c r="L314" s="648"/>
      <c r="M314" s="648"/>
      <c r="N314" s="648"/>
      <c r="O314" s="648"/>
      <c r="P314" s="648"/>
      <c r="Q314" s="648"/>
      <c r="R314" s="649"/>
    </row>
    <row r="315" spans="4:18" ht="27.75" customHeight="1">
      <c r="D315" s="477"/>
      <c r="E315" s="647" t="s">
        <v>800</v>
      </c>
      <c r="F315" s="648"/>
      <c r="G315" s="648"/>
      <c r="H315" s="648"/>
      <c r="I315" s="648"/>
      <c r="J315" s="648"/>
      <c r="K315" s="648"/>
      <c r="L315" s="648"/>
      <c r="M315" s="648"/>
      <c r="N315" s="648"/>
      <c r="O315" s="648"/>
      <c r="P315" s="648"/>
      <c r="Q315" s="648"/>
      <c r="R315" s="649"/>
    </row>
    <row r="316" spans="4:18" ht="104.25" customHeight="1">
      <c r="D316" s="477">
        <v>1</v>
      </c>
      <c r="E316" s="491" t="s">
        <v>801</v>
      </c>
      <c r="F316" s="478" t="s">
        <v>633</v>
      </c>
      <c r="G316" s="479">
        <v>5</v>
      </c>
      <c r="H316" s="479">
        <v>5</v>
      </c>
      <c r="I316" s="479"/>
      <c r="J316" s="479"/>
      <c r="K316" s="488"/>
      <c r="L316" s="488"/>
      <c r="M316" s="488"/>
      <c r="N316" s="488"/>
      <c r="O316" s="488"/>
      <c r="P316" s="488"/>
      <c r="Q316" s="488"/>
      <c r="R316" s="488"/>
    </row>
    <row r="317" spans="4:18" ht="19.5" customHeight="1">
      <c r="D317" s="569"/>
      <c r="E317" s="480" t="s">
        <v>695</v>
      </c>
      <c r="F317" s="478"/>
      <c r="G317" s="481"/>
      <c r="H317" s="481"/>
      <c r="I317" s="482">
        <v>100</v>
      </c>
      <c r="J317" s="483">
        <v>3</v>
      </c>
      <c r="K317" s="488"/>
      <c r="L317" s="488"/>
      <c r="M317" s="488"/>
      <c r="N317" s="488"/>
      <c r="O317" s="488"/>
      <c r="P317" s="488"/>
      <c r="Q317" s="488"/>
      <c r="R317" s="488"/>
    </row>
    <row r="318" spans="4:18" ht="19.5" customHeight="1">
      <c r="D318" s="569"/>
      <c r="E318" s="480" t="s">
        <v>694</v>
      </c>
      <c r="F318" s="484"/>
      <c r="G318" s="484"/>
      <c r="H318" s="484"/>
      <c r="I318" s="489">
        <v>100</v>
      </c>
      <c r="J318" s="485">
        <v>0</v>
      </c>
      <c r="K318" s="488"/>
      <c r="L318" s="488"/>
      <c r="M318" s="488"/>
      <c r="N318" s="488"/>
      <c r="O318" s="488"/>
      <c r="P318" s="488"/>
      <c r="Q318" s="488"/>
      <c r="R318" s="488"/>
    </row>
    <row r="319" spans="4:18" ht="26.25" customHeight="1">
      <c r="D319" s="569"/>
      <c r="E319" s="647" t="s">
        <v>802</v>
      </c>
      <c r="F319" s="648"/>
      <c r="G319" s="648"/>
      <c r="H319" s="648"/>
      <c r="I319" s="648"/>
      <c r="J319" s="648"/>
      <c r="K319" s="648"/>
      <c r="L319" s="648"/>
      <c r="M319" s="648"/>
      <c r="N319" s="648"/>
      <c r="O319" s="648"/>
      <c r="P319" s="648"/>
      <c r="Q319" s="648"/>
      <c r="R319" s="649"/>
    </row>
    <row r="320" spans="4:18" ht="42.75" customHeight="1">
      <c r="D320" s="569"/>
      <c r="E320" s="647" t="s">
        <v>807</v>
      </c>
      <c r="F320" s="648"/>
      <c r="G320" s="648"/>
      <c r="H320" s="648"/>
      <c r="I320" s="648"/>
      <c r="J320" s="648"/>
      <c r="K320" s="648"/>
      <c r="L320" s="648"/>
      <c r="M320" s="648"/>
      <c r="N320" s="648"/>
      <c r="O320" s="648"/>
      <c r="P320" s="648"/>
      <c r="Q320" s="648"/>
      <c r="R320" s="649"/>
    </row>
    <row r="321" spans="4:18" ht="48" customHeight="1">
      <c r="D321" s="477">
        <v>1</v>
      </c>
      <c r="E321" s="478" t="s">
        <v>803</v>
      </c>
      <c r="F321" s="478" t="s">
        <v>14</v>
      </c>
      <c r="G321" s="721">
        <v>120</v>
      </c>
      <c r="H321" s="721">
        <v>73.6</v>
      </c>
      <c r="I321" s="482"/>
      <c r="J321" s="483"/>
      <c r="K321" s="488"/>
      <c r="L321" s="488"/>
      <c r="M321" s="488"/>
      <c r="N321" s="488"/>
      <c r="O321" s="488"/>
      <c r="P321" s="488"/>
      <c r="Q321" s="488"/>
      <c r="R321" s="488"/>
    </row>
    <row r="322" spans="4:18" ht="60" customHeight="1">
      <c r="D322" s="477">
        <v>2</v>
      </c>
      <c r="E322" s="719" t="s">
        <v>805</v>
      </c>
      <c r="F322" s="478" t="s">
        <v>14</v>
      </c>
      <c r="G322" s="722">
        <v>100</v>
      </c>
      <c r="H322" s="722">
        <v>14</v>
      </c>
      <c r="I322" s="482"/>
      <c r="J322" s="483"/>
      <c r="K322" s="488"/>
      <c r="L322" s="488"/>
      <c r="M322" s="488"/>
      <c r="N322" s="488"/>
      <c r="O322" s="488"/>
      <c r="P322" s="488"/>
      <c r="Q322" s="488"/>
      <c r="R322" s="488"/>
    </row>
    <row r="323" spans="4:18" ht="15.75" customHeight="1">
      <c r="D323" s="569"/>
      <c r="E323" s="480" t="s">
        <v>695</v>
      </c>
      <c r="F323" s="478"/>
      <c r="G323" s="481"/>
      <c r="H323" s="481"/>
      <c r="I323" s="482">
        <v>0</v>
      </c>
      <c r="J323" s="483">
        <v>0</v>
      </c>
      <c r="K323" s="488"/>
      <c r="L323" s="488"/>
      <c r="M323" s="488"/>
      <c r="N323" s="488"/>
      <c r="O323" s="488"/>
      <c r="P323" s="488"/>
      <c r="Q323" s="488"/>
      <c r="R323" s="488"/>
    </row>
    <row r="324" spans="4:18" ht="27" customHeight="1">
      <c r="D324" s="569"/>
      <c r="E324" s="480" t="s">
        <v>694</v>
      </c>
      <c r="F324" s="484"/>
      <c r="G324" s="484"/>
      <c r="H324" s="484"/>
      <c r="I324" s="489">
        <v>100</v>
      </c>
      <c r="J324" s="485">
        <v>0</v>
      </c>
      <c r="K324" s="488"/>
      <c r="L324" s="488"/>
      <c r="M324" s="488"/>
      <c r="N324" s="488"/>
      <c r="O324" s="488"/>
      <c r="P324" s="488"/>
      <c r="Q324" s="488"/>
      <c r="R324" s="488"/>
    </row>
    <row r="325" spans="4:18" ht="129.75" customHeight="1">
      <c r="D325" s="569"/>
      <c r="E325" s="486" t="s">
        <v>600</v>
      </c>
      <c r="F325" s="487"/>
      <c r="G325" s="479"/>
      <c r="H325" s="479"/>
      <c r="I325" s="479"/>
      <c r="J325" s="489" t="s">
        <v>808</v>
      </c>
      <c r="K325" s="479"/>
      <c r="L325" s="479"/>
      <c r="M325" s="488"/>
      <c r="N325" s="488"/>
      <c r="O325" s="488"/>
      <c r="P325" s="489" t="s">
        <v>811</v>
      </c>
      <c r="Q325" s="490" t="s">
        <v>645</v>
      </c>
      <c r="R325" s="489" t="s">
        <v>810</v>
      </c>
    </row>
    <row r="326" spans="4:18" ht="15">
      <c r="D326" s="468"/>
      <c r="E326" s="469"/>
      <c r="F326" s="441"/>
      <c r="G326" s="470"/>
      <c r="H326" s="470"/>
      <c r="I326" s="470"/>
      <c r="J326" s="469"/>
      <c r="K326" s="469"/>
      <c r="L326" s="469"/>
      <c r="M326" s="469"/>
      <c r="N326" s="469"/>
      <c r="O326" s="469"/>
      <c r="P326" s="469"/>
      <c r="Q326" s="469"/>
      <c r="R326" s="469"/>
    </row>
    <row r="327" spans="4:18" ht="15">
      <c r="D327" s="468"/>
      <c r="E327" s="469"/>
      <c r="F327" s="441"/>
      <c r="G327" s="470"/>
      <c r="H327" s="470"/>
      <c r="I327" s="470"/>
      <c r="J327" s="469"/>
      <c r="K327" s="469"/>
      <c r="L327" s="469"/>
      <c r="M327" s="469"/>
      <c r="N327" s="469"/>
      <c r="O327" s="469"/>
      <c r="P327" s="469"/>
      <c r="Q327" s="469"/>
      <c r="R327" s="469"/>
    </row>
    <row r="328" spans="4:18" ht="15">
      <c r="D328" s="468"/>
      <c r="E328" s="469"/>
      <c r="F328" s="441"/>
      <c r="G328" s="470"/>
      <c r="H328" s="470"/>
      <c r="I328" s="470"/>
      <c r="J328" s="469"/>
      <c r="K328" s="469"/>
      <c r="L328" s="469"/>
      <c r="M328" s="469"/>
      <c r="N328" s="469"/>
      <c r="O328" s="469"/>
      <c r="P328" s="469"/>
      <c r="Q328" s="469"/>
      <c r="R328" s="469"/>
    </row>
    <row r="329" spans="4:18" ht="15">
      <c r="D329" s="468"/>
      <c r="E329" s="469"/>
      <c r="F329" s="441"/>
      <c r="G329" s="470"/>
      <c r="H329" s="470"/>
      <c r="I329" s="470"/>
      <c r="J329" s="469"/>
      <c r="K329" s="469"/>
      <c r="L329" s="469"/>
      <c r="M329" s="469"/>
      <c r="N329" s="469"/>
      <c r="O329" s="469"/>
      <c r="P329" s="469"/>
      <c r="Q329" s="469"/>
      <c r="R329" s="469"/>
    </row>
    <row r="330" spans="4:18" ht="15">
      <c r="D330" s="468"/>
      <c r="E330" s="469"/>
      <c r="F330" s="441"/>
      <c r="G330" s="470"/>
      <c r="H330" s="470"/>
      <c r="I330" s="470"/>
      <c r="J330" s="469"/>
      <c r="K330" s="469"/>
      <c r="L330" s="469"/>
      <c r="M330" s="469"/>
      <c r="N330" s="469"/>
      <c r="O330" s="469"/>
      <c r="P330" s="469"/>
      <c r="Q330" s="469"/>
      <c r="R330" s="469"/>
    </row>
    <row r="331" spans="4:18" ht="15">
      <c r="D331" s="468"/>
      <c r="E331" s="469"/>
      <c r="F331" s="441"/>
      <c r="G331" s="470"/>
      <c r="H331" s="470"/>
      <c r="I331" s="470"/>
      <c r="J331" s="469"/>
      <c r="K331" s="469"/>
      <c r="L331" s="469"/>
      <c r="M331" s="469"/>
      <c r="N331" s="469"/>
      <c r="O331" s="469"/>
      <c r="P331" s="469"/>
      <c r="Q331" s="469"/>
      <c r="R331" s="469"/>
    </row>
    <row r="332" spans="4:18" ht="15">
      <c r="D332" s="468"/>
      <c r="E332" s="469"/>
      <c r="F332" s="441"/>
      <c r="G332" s="470"/>
      <c r="H332" s="470"/>
      <c r="I332" s="470"/>
      <c r="J332" s="469"/>
      <c r="K332" s="469"/>
      <c r="L332" s="469"/>
      <c r="M332" s="469"/>
      <c r="N332" s="469"/>
      <c r="O332" s="469"/>
      <c r="P332" s="469"/>
      <c r="Q332" s="469"/>
      <c r="R332" s="469"/>
    </row>
    <row r="333" spans="4:18" ht="15">
      <c r="D333" s="468"/>
      <c r="E333" s="469"/>
      <c r="F333" s="441"/>
      <c r="G333" s="470"/>
      <c r="H333" s="470"/>
      <c r="I333" s="470"/>
      <c r="J333" s="469"/>
      <c r="K333" s="469"/>
      <c r="L333" s="469"/>
      <c r="M333" s="469"/>
      <c r="N333" s="469"/>
      <c r="O333" s="469"/>
      <c r="P333" s="469"/>
      <c r="Q333" s="469"/>
      <c r="R333" s="469"/>
    </row>
    <row r="334" spans="4:18" ht="15">
      <c r="D334" s="468"/>
      <c r="E334" s="469"/>
      <c r="F334" s="441"/>
      <c r="G334" s="470"/>
      <c r="H334" s="470"/>
      <c r="I334" s="470"/>
      <c r="J334" s="469"/>
      <c r="K334" s="469"/>
      <c r="L334" s="469"/>
      <c r="M334" s="469"/>
      <c r="N334" s="469"/>
      <c r="O334" s="469"/>
      <c r="P334" s="469"/>
      <c r="Q334" s="469"/>
      <c r="R334" s="469"/>
    </row>
  </sheetData>
  <sheetProtection selectLockedCells="1" selectUnlockedCells="1"/>
  <mergeCells count="122">
    <mergeCell ref="E319:R319"/>
    <mergeCell ref="E320:R320"/>
    <mergeCell ref="E284:R284"/>
    <mergeCell ref="E309:R309"/>
    <mergeCell ref="E308:R308"/>
    <mergeCell ref="E87:R87"/>
    <mergeCell ref="E88:R88"/>
    <mergeCell ref="E93:R93"/>
    <mergeCell ref="E94:R94"/>
    <mergeCell ref="E98:R98"/>
    <mergeCell ref="E99:R99"/>
    <mergeCell ref="D224:R224"/>
    <mergeCell ref="D175:R175"/>
    <mergeCell ref="P177:P180"/>
    <mergeCell ref="D193:R193"/>
    <mergeCell ref="E198:R198"/>
    <mergeCell ref="E199:R199"/>
    <mergeCell ref="G177:G181"/>
    <mergeCell ref="H177:H181"/>
    <mergeCell ref="G186:G190"/>
    <mergeCell ref="H186:H190"/>
    <mergeCell ref="D223:R223"/>
    <mergeCell ref="E186:E190"/>
    <mergeCell ref="D225:R225"/>
    <mergeCell ref="I177:I179"/>
    <mergeCell ref="D176:R176"/>
    <mergeCell ref="D184:R184"/>
    <mergeCell ref="D185:R185"/>
    <mergeCell ref="Q177:Q179"/>
    <mergeCell ref="R177:R179"/>
    <mergeCell ref="E177:E181"/>
    <mergeCell ref="E206:R206"/>
    <mergeCell ref="E66:R66"/>
    <mergeCell ref="E72:R72"/>
    <mergeCell ref="E73:R73"/>
    <mergeCell ref="E142:R142"/>
    <mergeCell ref="E141:R141"/>
    <mergeCell ref="E132:R132"/>
    <mergeCell ref="E133:R133"/>
    <mergeCell ref="E205:R205"/>
    <mergeCell ref="J177:J179"/>
    <mergeCell ref="E211:R211"/>
    <mergeCell ref="E210:R210"/>
    <mergeCell ref="D186:D190"/>
    <mergeCell ref="D194:R194"/>
    <mergeCell ref="E3:E4"/>
    <mergeCell ref="F3:F4"/>
    <mergeCell ref="D131:R131"/>
    <mergeCell ref="D140:R140"/>
    <mergeCell ref="D174:R174"/>
    <mergeCell ref="E65:R65"/>
    <mergeCell ref="D237:R237"/>
    <mergeCell ref="D1:R1"/>
    <mergeCell ref="D86:R86"/>
    <mergeCell ref="D42:R42"/>
    <mergeCell ref="J3:J4"/>
    <mergeCell ref="D3:D4"/>
    <mergeCell ref="G3:H3"/>
    <mergeCell ref="D43:R43"/>
    <mergeCell ref="D44:R44"/>
    <mergeCell ref="E50:R50"/>
    <mergeCell ref="Q3:Q4"/>
    <mergeCell ref="R3:R4"/>
    <mergeCell ref="D6:R6"/>
    <mergeCell ref="J25:J26"/>
    <mergeCell ref="G22:G24"/>
    <mergeCell ref="H22:H24"/>
    <mergeCell ref="F22:F24"/>
    <mergeCell ref="I3:I4"/>
    <mergeCell ref="D34:D38"/>
    <mergeCell ref="J34:J36"/>
    <mergeCell ref="E22:E24"/>
    <mergeCell ref="D7:R7"/>
    <mergeCell ref="D8:R8"/>
    <mergeCell ref="D16:R18"/>
    <mergeCell ref="D19:R21"/>
    <mergeCell ref="P25:P26"/>
    <mergeCell ref="I25:I26"/>
    <mergeCell ref="R25:R26"/>
    <mergeCell ref="E25:E26"/>
    <mergeCell ref="F25:F26"/>
    <mergeCell ref="D25:D26"/>
    <mergeCell ref="G25:G26"/>
    <mergeCell ref="P3:P4"/>
    <mergeCell ref="E58:R58"/>
    <mergeCell ref="H25:H26"/>
    <mergeCell ref="E34:E38"/>
    <mergeCell ref="G34:G38"/>
    <mergeCell ref="H34:H38"/>
    <mergeCell ref="E150:R150"/>
    <mergeCell ref="E151:R151"/>
    <mergeCell ref="E156:R156"/>
    <mergeCell ref="E157:R157"/>
    <mergeCell ref="R34:R36"/>
    <mergeCell ref="F34:F38"/>
    <mergeCell ref="E51:R51"/>
    <mergeCell ref="D32:R32"/>
    <mergeCell ref="D30:R31"/>
    <mergeCell ref="Q34:Q36"/>
    <mergeCell ref="Q25:Q26"/>
    <mergeCell ref="E238:R238"/>
    <mergeCell ref="E59:R59"/>
    <mergeCell ref="D177:D181"/>
    <mergeCell ref="F177:F181"/>
    <mergeCell ref="P34:P36"/>
    <mergeCell ref="I34:I36"/>
    <mergeCell ref="E239:R239"/>
    <mergeCell ref="E247:R247"/>
    <mergeCell ref="E248:R248"/>
    <mergeCell ref="E261:R261"/>
    <mergeCell ref="E260:R260"/>
    <mergeCell ref="D259:R259"/>
    <mergeCell ref="E314:R314"/>
    <mergeCell ref="E315:R315"/>
    <mergeCell ref="E265:R265"/>
    <mergeCell ref="E266:R266"/>
    <mergeCell ref="E270:R270"/>
    <mergeCell ref="E271:R271"/>
    <mergeCell ref="E276:R276"/>
    <mergeCell ref="E277:R277"/>
    <mergeCell ref="D307:R307"/>
    <mergeCell ref="E283:R283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2016-03-23T08:46:52Z</cp:lastPrinted>
  <dcterms:created xsi:type="dcterms:W3CDTF">1996-10-08T23:32:33Z</dcterms:created>
  <dcterms:modified xsi:type="dcterms:W3CDTF">2016-03-23T08:47:07Z</dcterms:modified>
  <cp:category/>
  <cp:version/>
  <cp:contentType/>
  <cp:contentStatus/>
</cp:coreProperties>
</file>