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600" windowHeight="954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sharedStrings.xml><?xml version="1.0" encoding="utf-8"?>
<sst xmlns="http://schemas.openxmlformats.org/spreadsheetml/2006/main" count="1516" uniqueCount="858">
  <si>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</si>
  <si>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</si>
  <si>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</si>
  <si>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</si>
  <si>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</si>
  <si>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</si>
  <si>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</si>
  <si>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</si>
  <si>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</si>
  <si>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</si>
  <si>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</si>
  <si>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</si>
  <si>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</si>
  <si>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</si>
  <si>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</si>
  <si>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</si>
  <si>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</si>
  <si>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</si>
  <si>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</si>
  <si>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</si>
  <si>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</si>
  <si>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</si>
  <si>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</si>
  <si>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</si>
  <si>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</si>
  <si>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</si>
  <si>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</si>
  <si>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</si>
  <si>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</si>
  <si>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</si>
  <si>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</si>
  <si>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</si>
  <si>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</si>
  <si>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</si>
  <si>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</si>
  <si>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</si>
  <si>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</si>
  <si>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</si>
  <si>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</si>
  <si>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</si>
  <si>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</si>
  <si>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</si>
  <si>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</si>
  <si>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</si>
  <si>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</si>
  <si>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</si>
  <si>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</si>
  <si>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</si>
  <si>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</si>
  <si>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</si>
  <si>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</si>
  <si>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</si>
  <si>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</si>
  <si>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</si>
  <si>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</si>
  <si>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</si>
  <si>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</si>
  <si>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</si>
  <si>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</si>
  <si>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</si>
  <si>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</si>
  <si>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</si>
  <si>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</si>
  <si>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</si>
  <si>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</si>
  <si>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</si>
  <si>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</si>
  <si>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</si>
  <si>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</si>
  <si>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</si>
  <si>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</si>
  <si>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</si>
  <si>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</si>
  <si>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</si>
  <si>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</si>
  <si>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</si>
  <si>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</si>
  <si>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</si>
  <si>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</si>
  <si>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</si>
  <si>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</si>
  <si>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</si>
  <si>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</si>
  <si>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</si>
  <si>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</si>
  <si>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</si>
  <si>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</si>
  <si>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</si>
  <si>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</si>
  <si>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</si>
  <si>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</si>
  <si>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</si>
  <si>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</si>
  <si>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</si>
  <si>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</si>
  <si>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</si>
  <si>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</si>
  <si>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</si>
  <si>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</si>
  <si>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</si>
  <si>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</si>
  <si>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</si>
  <si>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</si>
  <si>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</si>
  <si>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</si>
  <si>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</si>
  <si>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</si>
  <si>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</si>
  <si>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</si>
  <si>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</si>
  <si>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</si>
  <si>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</si>
  <si>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</si>
  <si>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</si>
  <si>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</si>
  <si>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</si>
  <si>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</si>
  <si>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</si>
  <si>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</si>
  <si>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</si>
  <si>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</si>
  <si>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</si>
  <si>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</si>
  <si>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</si>
  <si>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</si>
  <si>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</si>
  <si>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</si>
  <si>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</si>
  <si>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</si>
  <si>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</si>
  <si>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</si>
  <si>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</si>
  <si>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</si>
  <si>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</si>
  <si>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</si>
  <si>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</si>
  <si>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</si>
  <si>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</si>
  <si>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</si>
  <si>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</si>
  <si>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</si>
  <si>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</si>
  <si>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</si>
  <si>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</si>
  <si>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</si>
  <si>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</si>
  <si>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</si>
  <si>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</si>
  <si>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</si>
  <si>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</si>
  <si>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</si>
  <si>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</si>
  <si>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</si>
  <si>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</si>
  <si>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</si>
  <si>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</si>
  <si>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</si>
  <si>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</si>
  <si>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</si>
  <si>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</si>
  <si>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</si>
  <si>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</si>
  <si>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</si>
  <si>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</si>
  <si>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</si>
  <si>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</si>
  <si>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</si>
  <si>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</si>
  <si>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</si>
  <si>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</si>
  <si>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</si>
  <si>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</si>
  <si>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</si>
  <si>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</si>
  <si>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</si>
  <si>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</si>
  <si>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</si>
  <si>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</si>
  <si>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</si>
  <si>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</si>
  <si>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</si>
  <si>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</si>
  <si>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</si>
  <si>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</si>
  <si>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</si>
  <si>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</si>
  <si>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</si>
  <si>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</si>
  <si>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</si>
  <si>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</si>
  <si>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</si>
  <si>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</si>
  <si>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</si>
  <si>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</si>
  <si>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</si>
  <si>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</si>
  <si>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</si>
  <si>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</si>
  <si>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</si>
  <si>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</si>
  <si>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</si>
  <si>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</si>
  <si>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</si>
  <si>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</si>
  <si>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</si>
  <si>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</si>
  <si>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</si>
  <si>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</si>
  <si>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</si>
  <si>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</si>
  <si>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</si>
  <si>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</si>
  <si>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</si>
  <si>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</si>
  <si>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</si>
  <si>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</si>
  <si>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</si>
  <si>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</si>
  <si>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</si>
  <si>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</si>
  <si>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</si>
  <si>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</si>
  <si>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</si>
  <si>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</si>
  <si>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</si>
  <si>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</si>
  <si>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</si>
  <si>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</si>
  <si>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</si>
  <si>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</si>
  <si>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</si>
  <si>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</si>
  <si>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</si>
  <si>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</si>
  <si>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</si>
  <si>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</si>
  <si>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</si>
  <si>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</si>
  <si>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</si>
  <si>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</si>
  <si>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</si>
  <si>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</si>
  <si>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</si>
  <si>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</si>
  <si>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</si>
  <si>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</si>
  <si>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</si>
  <si>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</si>
  <si>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</si>
  <si>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</si>
  <si>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</si>
  <si>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</si>
  <si>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</si>
  <si>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</si>
  <si>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</si>
  <si>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</si>
  <si>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</si>
  <si>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</si>
  <si>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</si>
  <si>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</si>
  <si>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</si>
  <si>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</si>
  <si>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</si>
  <si>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</si>
  <si>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</si>
  <si>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</si>
  <si>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</si>
  <si>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</si>
  <si>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</si>
  <si>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</si>
  <si>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</si>
  <si>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</si>
  <si>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</si>
  <si>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</si>
  <si>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</si>
  <si>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</si>
  <si>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</si>
  <si>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</si>
  <si>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</si>
  <si>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</si>
  <si>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</si>
  <si>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</si>
  <si>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</si>
  <si>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</si>
  <si>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</si>
  <si>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</si>
  <si>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</si>
  <si>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</si>
  <si>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</si>
  <si>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</si>
  <si>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</si>
  <si>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</si>
  <si>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</si>
  <si>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</si>
  <si>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</si>
  <si>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</si>
  <si>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</si>
  <si>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</si>
  <si>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</si>
  <si>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</si>
  <si>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</si>
  <si>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</si>
  <si>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</si>
  <si>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</si>
  <si>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</si>
  <si>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</si>
  <si>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</si>
  <si>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</si>
  <si>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</si>
  <si>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</si>
  <si>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</si>
  <si>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</si>
  <si>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</si>
  <si>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</si>
  <si>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</si>
  <si>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</si>
  <si>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</si>
  <si>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</si>
  <si>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</si>
  <si>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</si>
  <si>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</si>
  <si>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</si>
  <si>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</si>
  <si>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</si>
  <si>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</si>
  <si>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</si>
  <si>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</si>
  <si>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</si>
  <si>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</si>
  <si>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</si>
  <si>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</si>
  <si>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</si>
  <si>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</si>
  <si>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</si>
  <si>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</si>
  <si>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</si>
  <si>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</si>
  <si>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</si>
  <si>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</si>
  <si>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</si>
  <si>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</si>
  <si>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</si>
  <si>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</si>
  <si>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</si>
  <si>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</si>
  <si>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</si>
  <si>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</si>
  <si>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</si>
  <si>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</si>
  <si>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</si>
  <si>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</si>
  <si>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</si>
  <si>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</si>
  <si>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</si>
  <si>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</si>
  <si>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</si>
  <si>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</si>
  <si>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</si>
  <si>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</si>
  <si>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</si>
  <si>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</si>
  <si>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</si>
  <si>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</si>
  <si>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</si>
  <si>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</si>
  <si>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</si>
  <si>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</si>
  <si>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</si>
  <si>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</si>
  <si>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</si>
  <si>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</si>
  <si>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</si>
  <si>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В.5.*п13(2007)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</si>
  <si>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</si>
  <si>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</si>
  <si>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 xml:space="preserve"> </t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</si>
  <si>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</si>
  <si>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</si>
  <si>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</si>
  <si>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</si>
  <si>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</si>
  <si>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</si>
  <si>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</si>
  <si>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</si>
  <si>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</si>
  <si>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</si>
  <si>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</si>
  <si>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</si>
  <si>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</si>
  <si>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</si>
  <si>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</si>
  <si>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</si>
  <si>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</si>
  <si>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</si>
  <si>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</si>
  <si>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</si>
  <si>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</si>
  <si>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</si>
  <si>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</si>
  <si>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</si>
  <si>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</si>
  <si>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</si>
  <si>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</si>
  <si>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</si>
  <si>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</si>
  <si>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</si>
  <si>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</si>
  <si>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</si>
  <si>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</si>
  <si>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</si>
  <si>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</si>
  <si>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</si>
  <si>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</si>
  <si>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</si>
  <si>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</si>
  <si>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</si>
  <si>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</si>
  <si>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</si>
  <si>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</si>
  <si>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</si>
  <si>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</si>
  <si>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</si>
  <si>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</si>
  <si>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</si>
  <si>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</si>
  <si>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</si>
  <si>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</si>
  <si>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</si>
  <si>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</si>
  <si>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</si>
  <si>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</si>
  <si>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</si>
  <si>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</si>
  <si>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</si>
  <si>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</si>
  <si>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</si>
  <si>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</si>
  <si>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</si>
  <si>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</si>
  <si>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</si>
  <si>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</si>
  <si>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</si>
  <si>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</si>
  <si>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</si>
  <si>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</si>
  <si>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</si>
  <si>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</si>
  <si>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</si>
  <si>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</si>
  <si>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</si>
  <si>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</si>
  <si>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</si>
  <si>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</si>
  <si>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</si>
  <si>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</si>
  <si>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</si>
  <si>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</si>
  <si>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</si>
  <si>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</si>
  <si>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</si>
  <si>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</si>
  <si>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</si>
  <si>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</si>
  <si>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</si>
  <si>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</si>
  <si>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</si>
  <si>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</si>
  <si>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</si>
  <si>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</si>
  <si>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</si>
  <si>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</si>
  <si>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</si>
  <si>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</si>
  <si>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</si>
  <si>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</si>
  <si>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</si>
  <si>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</si>
  <si>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</si>
  <si>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</si>
  <si>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</si>
  <si>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</si>
  <si>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</si>
  <si>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</si>
  <si>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</si>
  <si>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</si>
  <si>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</si>
  <si>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</si>
  <si>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</si>
  <si>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</si>
  <si>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</si>
  <si>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</si>
  <si>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</si>
  <si>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</si>
  <si>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</si>
  <si>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</si>
  <si>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</si>
  <si>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</si>
  <si>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</si>
  <si>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</si>
  <si>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</si>
  <si>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</si>
  <si>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</si>
  <si>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</si>
  <si>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</si>
  <si>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</si>
  <si>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</si>
  <si>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</si>
  <si>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</si>
  <si>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</si>
  <si>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</si>
  <si>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</si>
  <si>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</si>
  <si>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</si>
  <si>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</si>
  <si>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</si>
  <si>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</si>
  <si>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</si>
  <si>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</si>
  <si>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</si>
  <si>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</si>
  <si>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</si>
  <si>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</si>
  <si>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</si>
  <si>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</si>
  <si>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</si>
  <si>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</si>
  <si>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</si>
  <si>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</si>
  <si>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</si>
  <si>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</si>
  <si>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</si>
  <si>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</si>
  <si>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</si>
  <si>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</si>
  <si>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</si>
  <si>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</si>
  <si>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</si>
  <si>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</si>
  <si>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</si>
  <si>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</si>
  <si>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</si>
  <si>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</si>
  <si>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</si>
  <si>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</si>
  <si>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</si>
  <si>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</si>
  <si>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</si>
  <si>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</si>
  <si>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</si>
  <si>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</si>
  <si>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</si>
  <si>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</si>
  <si>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</si>
  <si>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</si>
  <si>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</si>
  <si>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</si>
  <si>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</si>
  <si>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</si>
  <si>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</si>
  <si>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</si>
  <si>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</si>
  <si>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</si>
  <si>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</si>
  <si>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</si>
  <si>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</si>
  <si>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</si>
  <si>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</si>
  <si>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</si>
  <si>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</si>
  <si>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</si>
  <si>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</si>
  <si>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</si>
  <si>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</si>
  <si>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</si>
  <si>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</si>
  <si>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</si>
  <si>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</si>
  <si>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</si>
  <si>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</si>
  <si>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</si>
  <si>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</si>
  <si>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</si>
  <si>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</si>
  <si>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</si>
  <si>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</si>
  <si>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</si>
  <si>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</si>
  <si>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</si>
  <si>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Плановое значение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</si>
  <si>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</si>
  <si>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</si>
  <si>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</si>
  <si>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</si>
  <si>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</si>
  <si>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</si>
  <si>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>Предложения по дальнейшей реализации муниципальной  программы</t>
  </si>
  <si>
    <t>Строительство и содержание  автомобильных дорог</t>
  </si>
  <si>
    <t>тыс.кв.м.</t>
  </si>
  <si>
    <t>да/нет</t>
  </si>
  <si>
    <t>да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</si>
  <si>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</si>
  <si>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</si>
  <si>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</si>
  <si>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</si>
  <si>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</si>
  <si>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</si>
  <si>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</si>
  <si>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 xml:space="preserve">Внедрение федеральных    государственных          
образовательных          стандартов
</t>
  </si>
  <si>
    <t xml:space="preserve">Доля лиц, сдавших единый государственный экзамен  
по обязательным          предметам, от числа      
выпускников,             участвовавших в ЕГЭ
</t>
  </si>
  <si>
    <t>1.</t>
  </si>
  <si>
    <t>Исполнение запланированных ассигнований по задаче:</t>
  </si>
  <si>
    <t>Достигнуто значений показателей по задаче:</t>
  </si>
  <si>
    <t>Оценка в баллах по каждой задаче (R)</t>
  </si>
  <si>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Реализация запланированных мероприятий муниципальной  подпрограммы органа местного самоуправления</t>
    </r>
  </si>
  <si>
    <t>2.</t>
  </si>
  <si>
    <t>Реализация  переданных  государственных полномочий</t>
  </si>
  <si>
    <t xml:space="preserve">2.Цель муниципальной программы:
Обеспечение безопасности граждан
</t>
  </si>
  <si>
    <t>Обеспечение круглосуточной бесперебойной работы единой дежурно-диспетчерской службы</t>
  </si>
  <si>
    <t xml:space="preserve">Проведение подготовки, переподготовки и повышения квалификации должностных лиц,  добровольных пожарных команд муниципального образования в интересах гражданской обороны, предупреждения и ликвидации чрезвычайных ситуаций </t>
  </si>
  <si>
    <t>Реализация запланированных мероприятий муниципальной  подпрограммы местного самоуправления</t>
  </si>
  <si>
    <t xml:space="preserve">3.Цель муниципальной программы:
                Обеспечение выполнения и создания условий для реализации муниципальной политики в сфере автомобильных дорог общего пользования и дорожной деятельности; 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уровня населения за счет формирования сети автомобильных дорог общего пользования, соответствующей потребностям экономики, населения, государства и бизнеса.
</t>
  </si>
  <si>
    <t>Обустройство тротуаров</t>
  </si>
  <si>
    <t>чел</t>
  </si>
  <si>
    <t xml:space="preserve">1. Цель муниципальной программы:
Государственная поддержка решения жилищной проблемы молодых семей, признанных в установленном порядке нуждающимися в улучшении жилищных условий
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</si>
  <si>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</t>
  </si>
  <si>
    <t>Доля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бюджетов, в общем количестве молодых семей, нуждающихся в улучшении жилищных условий</t>
  </si>
  <si>
    <t>Доля оплаченных свидетельств на приобретение жилья в общем количестве свидетельств на приобретение жилья, выданных молодым семьям</t>
  </si>
  <si>
    <t>Доля библиотек, обеспеченных доступам к Интернету</t>
  </si>
  <si>
    <t>Доля подведомственных учреждений, имеющих собственные сайты в сети Интернет</t>
  </si>
  <si>
    <t>Реализация программы признается целесообразной. Продолжить финансирование программных мероприятий</t>
  </si>
  <si>
    <t>Реализация признается целесообразной, продолжить финансирование мероприятий</t>
  </si>
  <si>
    <t>Количество объектов муниципальной собственности, по которым необходима полготовка технической документации и документации, необходимой для осуществления кадастрового учета</t>
  </si>
  <si>
    <t>Количество объектов муниципальной собственности, подлежащих независимой оценке</t>
  </si>
  <si>
    <t>Количество вновь оформленных земельных участков, государственная собственность на которые не разграничена</t>
  </si>
  <si>
    <t xml:space="preserve">1. Задача муниципальной программы: 
 Предоставление молодым семьям-участникам программы социальных выплат на приобретение жилья 
</t>
  </si>
  <si>
    <t xml:space="preserve">2.Цель муниципальной программы: обеспечение свободы творчества и прав граждан на участие в культурной жизни     </t>
  </si>
  <si>
    <t>Количество обучающихся в школах дополнительного образования сферы культуры</t>
  </si>
  <si>
    <t>Увеличение доли детей,привлекаемых к участию в творческих мероприятиях, к общему чмслу детей, обочающихся в учреждениях дополнительного образования детей (детских школах искусств)</t>
  </si>
  <si>
    <t>Организация  и проведение культурно-досуговых мероприятий</t>
  </si>
  <si>
    <t>Количество посещений культурно-досуговых мероприятий на одного жителя в год</t>
  </si>
  <si>
    <t>Обновление фонда библиотек</t>
  </si>
  <si>
    <t>Обеспеченность общедоступными библиотеками</t>
  </si>
  <si>
    <t>Количество посещений библиотек на 1 жителя в год</t>
  </si>
  <si>
    <t xml:space="preserve">Обеспеченность учреждениями культурно- досугового типа </t>
  </si>
  <si>
    <t>Посещаемость музейных учреждений на 1 жителя в год</t>
  </si>
  <si>
    <t>3.Цель муниципальной программы:: обеспечение прав граждан на доступ к культурным ценностям,  повышение эффективности управления в сфере культуры, физической культуры и спорта.</t>
  </si>
  <si>
    <t>1. Задача муниципальной программы: создание условий для занятий физической культурой и спортом, повышение эффективности бюджетных расходов в сфере культуры и спорта</t>
  </si>
  <si>
    <t>Соотношение средней заработной платы педагогических работников общеобразовательных организаций к средней заработной плате в муниципалитете</t>
  </si>
  <si>
    <t xml:space="preserve">Соотношение средней заработной платы педагогических работников организаций дополнительного образования детей к средней заработной плате учителей в муниципалитете
</t>
  </si>
  <si>
    <t xml:space="preserve">Соотношение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в муниципалитете. 
</t>
  </si>
  <si>
    <t xml:space="preserve">Обеспечение питанием учащихся в муниципальных общеобразовательных организациях. 
</t>
  </si>
  <si>
    <t xml:space="preserve">%              </t>
  </si>
  <si>
    <t>Доля детей, получающих услуги дополнительного образования, в возрасте 5-18 лет.</t>
  </si>
  <si>
    <t xml:space="preserve">Доля учащихся, включенных в систему развития       
одаренных детей.     
</t>
  </si>
  <si>
    <t>-прошедших аттестацию</t>
  </si>
  <si>
    <t xml:space="preserve"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  </t>
  </si>
  <si>
    <t>Доля закупок у субъектов малого и среднего предпринимательства в совокупном годовом объеме закупок для муниципальных нужд на уровне</t>
  </si>
  <si>
    <t>не менее, %</t>
  </si>
  <si>
    <t xml:space="preserve"> 2. Задача муниципальной программы:
Формирование инфраструктуры поддержки малого и среднего предпринимательства</t>
  </si>
  <si>
    <t>Количество организованных ярмарок на территории города</t>
  </si>
  <si>
    <t>Достигнуто показателей,%</t>
  </si>
  <si>
    <t>R=6  N=2</t>
  </si>
  <si>
    <t>Плановая эффективность</t>
  </si>
  <si>
    <t>Продолжить реализацию программы после проведения корректировки мероприятий</t>
  </si>
  <si>
    <t xml:space="preserve">Эффективность програм-мы ниже  плановой </t>
  </si>
  <si>
    <t xml:space="preserve">Количество благоустроенных дворовых территорий </t>
  </si>
  <si>
    <t xml:space="preserve">Количество благоустроенных муниципальных территорий общего пользования </t>
  </si>
  <si>
    <t xml:space="preserve">1.Цель муниципальной программы:
 Снижение показателей энергоемкости и энергопотребления учреждений, предприятий и организаций, создание условий для перевода экономики муниципального образования на энергосберегающий путь развития. Определение показателей энергетической эффективности
</t>
  </si>
  <si>
    <t xml:space="preserve">1. Задача муниципальной программы: 
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 эффективность при потреблении энергетических ресурсов, их мониторинга, а также сбора и анализа информации об энергоемкости экономики муниципального образования. Обеспечение учета объемов потребляемых энергетических ресурсов с использованием приборов учета
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</si>
  <si>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</si>
  <si>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 xml:space="preserve"> 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</si>
  <si>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</si>
  <si>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 xml:space="preserve">. 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 </t>
  </si>
  <si>
    <t>Целевые показатели в муниципальном секторе:</t>
  </si>
  <si>
    <t>Удельный расход электрической энергии на снабжение муниципальных учреждений (в расчете на 1 кв. метр общей площади)</t>
  </si>
  <si>
    <t>Удельный расход тепловой энергии на снабжение муниципальных учреждений (в расчете на 1 кв. метр общей площади)</t>
  </si>
  <si>
    <t>3.</t>
  </si>
  <si>
    <t>Удельный расход холодной воды на снабжение муниципальных учреждений (в расчете на 1 человека)</t>
  </si>
  <si>
    <t>кВт·ч/кв. м</t>
  </si>
  <si>
    <t>Гкал/кв. м</t>
  </si>
  <si>
    <t>куб. м/чел.</t>
  </si>
  <si>
    <t>Целевые показатели в жилищном фонде:</t>
  </si>
  <si>
    <t>Удельный расход тепловой энергии в многоквартирных домах (в расчете на 1 кв. метр общей площади)</t>
  </si>
  <si>
    <t>Удельный расход электрической энергии в многоквартирных домах (в расчете на 1 кв. метр общей площади)</t>
  </si>
  <si>
    <t>Целевые показатели в системах коммунальной инфраструктуры:</t>
  </si>
  <si>
    <t xml:space="preserve"> Удельный расход электрической энергии, используемой для передачи (транспортировки) воды в системах водоснабжения (на 1 куб. метр)</t>
  </si>
  <si>
    <t xml:space="preserve"> кВт·ч/ куб. м</t>
  </si>
  <si>
    <t>R=3 N=1</t>
  </si>
  <si>
    <t>R=3xN  3=3</t>
  </si>
  <si>
    <t xml:space="preserve">Плановая эффективность </t>
  </si>
  <si>
    <t>Реализация запланированных мероприятий муниципальной  подпрограммы органа местного самоуправления</t>
  </si>
  <si>
    <t xml:space="preserve">4.Цель муниципальной программы:
Улучшение качества пассажирских перевозок
</t>
  </si>
  <si>
    <t xml:space="preserve">Регулярность движения автобусов, осуществляющих пассажирские перевозки </t>
  </si>
  <si>
    <t>Муниципальная программа "Обеспечение жильем молодых семей"</t>
  </si>
  <si>
    <t xml:space="preserve">R=1
N=1
</t>
  </si>
  <si>
    <t xml:space="preserve">R&lt;3xN 1&lt;3
</t>
  </si>
  <si>
    <t>Программа признана неэффек-тивна</t>
  </si>
  <si>
    <t>Продолжить реализацию программы после проведения корректировки целевых показателей</t>
  </si>
  <si>
    <r>
      <t xml:space="preserve">  </t>
    </r>
    <r>
      <rPr>
        <b/>
        <sz val="10"/>
        <rFont val="Times New Roman"/>
        <family val="1"/>
      </rPr>
      <t>3. Задача муниципальной программы:
Содействие субъектам малого и среднего предпринимательства в продвижении на рынки товаров и услуг</t>
    </r>
  </si>
  <si>
    <t>4.</t>
  </si>
  <si>
    <t>5.</t>
  </si>
  <si>
    <t>6.</t>
  </si>
  <si>
    <t>7.</t>
  </si>
  <si>
    <t xml:space="preserve">Обеспеченность  детей в возрасте от 3до 7 лет местами в дошкольных образовательных организациях  (актуальная очередь)
</t>
  </si>
  <si>
    <t>Доля детей-инвалидов в возрасте 1,5 до 7 лет, охваченных дошкольным образованием (зарегистрированных в очереди и получивших место)</t>
  </si>
  <si>
    <t xml:space="preserve">Доля выпускников 9-х классов  общеобразовательных  учреждений, прошедших  государственную (итоговую) аттестацию.          
</t>
  </si>
  <si>
    <t>8.</t>
  </si>
  <si>
    <t xml:space="preserve">       1. Задача муниципальной программы:  
                Увеличение доходов бюджета на основе эффективного управления муниципальной собственностью
</t>
  </si>
  <si>
    <t>неэффективна</t>
  </si>
  <si>
    <t>Для дальнейшей реализации программы необходимо внести изменения по финансированию мероприятий и корректировку целевых показателей</t>
  </si>
  <si>
    <t xml:space="preserve">   1.Задача муниципальной программы:  
                Повышение уровня благоустройства дворовых территорий</t>
  </si>
  <si>
    <t xml:space="preserve">Доля благоустроенных дворовых территорий от общего количества дворовых территорий 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</si>
  <si>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образования)</t>
  </si>
  <si>
    <t>Ед.</t>
  </si>
  <si>
    <t xml:space="preserve">         2. Задача муниципальной программы:  
                Повышение уровня благоустройства муниципальных территорий общего пользования
</t>
  </si>
  <si>
    <t>Площадь благоустроенных муниципальных территорий общего пользования</t>
  </si>
  <si>
    <t>кв.м</t>
  </si>
  <si>
    <t xml:space="preserve">   1.Задача муниципальной программы:  
                Снижение потребления энергетических ресурсов.
 Повышение надежности систем коммунальной инфраструктуры, повышение качества предоставляемых услуг ЖКХ 
</t>
  </si>
  <si>
    <t>Уровень физического износа сетей теплоснабжения</t>
  </si>
  <si>
    <t>Уровень физического износа сетей водоснабжения</t>
  </si>
  <si>
    <t>Уровень физического износа сетей водоотведения</t>
  </si>
  <si>
    <t>Протяженность заменяемых сетей теплоснабжения</t>
  </si>
  <si>
    <t>Протяженность заменяемых сетей водоснабжения</t>
  </si>
  <si>
    <t xml:space="preserve">Протяженность заменяемых электрических сетей </t>
  </si>
  <si>
    <t xml:space="preserve">3.1. Задача муниципальной программы:
 Обеспечение сохранности, восстановления и развития автомобильных дорог муниципального значения и условий безопасности движения по ним при эксплуатации дорожной сети; содержание и ремонт автомобильных дорог общего пользования муниципального значения в целях доведения транспортно-эксплуатационных показателей до нормативных требований.
</t>
  </si>
  <si>
    <t>R=3xN  6=6</t>
  </si>
  <si>
    <t xml:space="preserve">Муниципальная программа "Энергосбережение и повышение энергетической эффективности в Новозыбковском городском округе Брянской области"  </t>
  </si>
  <si>
    <t>1.Цель муниципальной программы:
               Организация деятельности Новозыбковской городской администрации муниципального образования Новозыбковский городской округ</t>
  </si>
  <si>
    <t>1.Задача муниципальной программы:
Обеспечение выполнения функций Новозыбковской городской администрации  по реализации полномочий по решению вопросов местного значения. Повышение качества муниципального управления</t>
  </si>
  <si>
    <r>
      <t>Подпрограмма</t>
    </r>
    <r>
      <rPr>
        <b/>
        <sz val="12"/>
        <rFont val="Times New Roman"/>
        <family val="1"/>
      </rPr>
      <t>: «Выполнение функций Новозыбковской городской администрации»</t>
    </r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</si>
  <si>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1. Реализация функций Новозыбковской городской администрации</t>
    </r>
  </si>
  <si>
    <t xml:space="preserve">1.Цель муниципальной программы:
                Организация деятельности Новозыбковской городской администрации муниципального образования Новозыбковский городской округ
</t>
  </si>
  <si>
    <t>2.Задача муниципальной программы:
 Обеспечение переданных исполнительно-распоряди¬тельному органу муниципального образования государственных полномочий; защита прав и законных интересов несовершеннолетних, лиц из числа детей-сирот и 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обстоятельствах.</t>
  </si>
  <si>
    <t xml:space="preserve">Ликвидация последствий чрезвычайных ситуаций природного и техногенного характера (ЧС) на территории Новозыбковского городского образования; 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направленностиЛиквидация последствий чрезвычайных ситуаций природного и техногенного характера (ЧС) на территории города Новозыбкова;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
</t>
  </si>
  <si>
    <t>Подпрограмма «Организация и осуществление мероприятий по гражданской обороне, защите населения и территории Новозыбковского городского округа от чрезвычайных ситуаций, профилактика 
правонарушений и борьба с преступностью»</t>
  </si>
  <si>
    <t>Подпрограмма «Реализация полномочий в сфере ЖКХ и дорожного хозяйства Новозыбковского городского округа»</t>
  </si>
  <si>
    <t xml:space="preserve">1.Цель муниципальной программы: «Обеспечение долгосрочной сбалансированности и устойчивости бюджетной системы 
Новозыбковского городского округа"
города Новозыбкова»
</t>
  </si>
  <si>
    <t xml:space="preserve">1.Задача муниципальной программы: «Обеспечение финансовой устойчивости бюджетной системы Новозыбковского 
городского округа путем проведения сбалансированной финансовой политики"
на обслуживание муниципального внутреннего долга города Новозыбкова»
</t>
  </si>
  <si>
    <t>Отношение объема муниципального внутреннего долга Новозыбковского городского округа Брянской области к общему годовому объему доходов бюджета городского округа без учета утвержденного объема безвозмездных поступлений</t>
  </si>
  <si>
    <t>≤15,1</t>
  </si>
  <si>
    <t>Доля выпадающих доходов бюджета городского округа в результате предоставления налоговых льгот</t>
  </si>
  <si>
    <t>≤3,0</t>
  </si>
  <si>
    <t>Отклонение фактического объема налоговых и неналоговых доходов бюджета городского округа от первоначального плана</t>
  </si>
  <si>
    <t>≤ - 2,6</t>
  </si>
  <si>
    <t>Доля расходов бюджета городского округа, формируемых в рамках муниципальных программ</t>
  </si>
  <si>
    <r>
      <t>&gt;</t>
    </r>
    <r>
      <rPr>
        <sz val="11"/>
        <color indexed="8"/>
        <rFont val="Times New Roman"/>
        <family val="1"/>
      </rPr>
      <t xml:space="preserve"> 99,4</t>
    </r>
  </si>
  <si>
    <t>1.2.Задача муниципальной программы: «Создание условий для эффективного и ответственного управления муниципальными 
финансами»</t>
  </si>
  <si>
    <t>Доля просроченной кредиторской задолженности по состоянию на конец отчетного периода в общем объеме расходов бюджета городского округа</t>
  </si>
  <si>
    <t>Муниципальная программа "Развитие и поддержка малого и среднего предпринимательства в Новозыбковском городском округе Брянской области"</t>
  </si>
  <si>
    <t>1. Цель муниципальной программы:
Обеспечение оптимальных условий для развития малого предпринимательства в Новозыбковском городском округе и повышение его вклада в социально-экономическое развитие Новозыбковского городского округа</t>
  </si>
  <si>
    <t xml:space="preserve">                                          1. Задача муниципальной программы:
Создание благоприятной среды, способствующей активизации  предпринимательской деятельности
</t>
  </si>
  <si>
    <t>1. Наличие  интернет - ресурса, отражающего вопросы поддержки и развития малого бизнеса и инвестиционной привлекательности  города</t>
  </si>
  <si>
    <t xml:space="preserve">Муниципальная программа "Развитие муниципальной системы образования" </t>
  </si>
  <si>
    <t xml:space="preserve">1. Задача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Реализация государственной политики в сфере образования на территории муниципального образования. Развитие кадрового потенциала сферы образования.
</t>
  </si>
  <si>
    <t>Обеспечение 100 % доли воспитанников дошкольных образовательных организаций, обучающихся по программам, соответствующим требованиям ФГОС</t>
  </si>
  <si>
    <t xml:space="preserve">. Доля педагогических      работников:             
- повысивших уровень     профессионального        
мастерства(прошедших повышение квалификации и (или) профессиональную переподготовку;          
</t>
  </si>
  <si>
    <t xml:space="preserve">2. Задача муниципальной программы:
Повышение доступности и качества предоставления дошкольного, общего образования, дополнительного образования детей. Развитие инфраструктуры сферы образования
</t>
  </si>
  <si>
    <t>Доля детей-инвалидов, охваченных качественным общим образованием</t>
  </si>
  <si>
    <t>Доля детей, в возрасте 5-18 лет, использующих сертификаты ДО</t>
  </si>
  <si>
    <t>9.</t>
  </si>
  <si>
    <t xml:space="preserve">1. Цель муниципальной программы:
Обеспечение населения Новозыбковского городского округа чистой питьевой водой в достаточном количестве
</t>
  </si>
  <si>
    <t xml:space="preserve">1. Задача муниципальной программы: 
Повышение эффективности, устойчивости и надежности функционирования существующих систем водоснабжения; Улучшение качества питьевой воды.
</t>
  </si>
  <si>
    <t>10.</t>
  </si>
  <si>
    <t>11.</t>
  </si>
  <si>
    <t>12.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</si>
  <si>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Манюки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</si>
  <si>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Катичи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</si>
  <si>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пос. Опытная Станция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</si>
  <si>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Старые Бобовичи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</si>
  <si>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Верещаки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</si>
  <si>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Новые Бобовичи Новозыбковского городского округа Брянской области</t>
  </si>
  <si>
    <t>Прирост численности (сельского) населения, обеспеченного качественной питьевой водой из систем централизованного водоснабжения, после ввода объекта в эксплуатацию с. Замишево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</si>
  <si>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Белый Колодезь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</si>
  <si>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Вихолка Новозыбковского городского округа Брянской области</t>
  </si>
  <si>
    <t>Прирост доли  (сельского) населения, обеспеченного качественной питьевой водой из систем централизованного водоснабжения, после ввода объекта в эксплуатацию в с. Старый Кривец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</si>
  <si>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хут. Величка Новозыбковского городского округа Брянской области</t>
  </si>
  <si>
    <t>R=7        N=3</t>
  </si>
  <si>
    <t>R&lt;3xN  7&lt;3x3  6,75&lt;7&lt;9</t>
  </si>
  <si>
    <t>км.</t>
  </si>
  <si>
    <t xml:space="preserve">1.Цель муниципальной программы:
Развитие системы обеспечения прав потребителей на территории Новозыбковского городского округа Брянской области
</t>
  </si>
  <si>
    <t xml:space="preserve">1. Задача муниципальной программы:
Повышение уровня правовой грамотности и формирование у населения навыков рационального потребительского поведения 
</t>
  </si>
  <si>
    <t>Количество  предприятий, в которых оказываются бесплатные консультационные услуги в сфере защиты прав потребителей</t>
  </si>
  <si>
    <t xml:space="preserve"> Количество просветительных мероприятий и инфор-мации в сфере защиты прав потребителей для населения, в том числе публикаций в средствах массовой информации, направленных на повышение потребительской грамотности (буклетов, памяток, брошюр, плакатов и др.)</t>
  </si>
  <si>
    <t xml:space="preserve">   2. Задача муниципальной программы:
обеспечение защиты прав и повышение доступности правовой и экспертной помощи для потребителей, в первую очередь для их наиболее уязвимых категорий
</t>
  </si>
  <si>
    <t>Количество консультаций, оказанных на личном приеме, по телефону, электронной почте с разъяснением принципов самозащиты потребителей</t>
  </si>
  <si>
    <t>Количество консультаций, оказанных потребителям с составлением документа, способствующего защите их прав (претензия, исковое заявление, проекты обращений в органы надзора)</t>
  </si>
  <si>
    <t xml:space="preserve">   3. Задача муниципальной программы:
создание эффективной системы оперативного обмена информацией в сфере защиты прав потребителей, включая информирование потребителей о качестве предлагаемых товаров, работ и услуг
</t>
  </si>
  <si>
    <t>Количество организованных и проведенных тематических мероприятий по вопросам защиты прав потребителей («круглые столы», дни открытых дверей, лекции и т.п.), в том числе приуроченных к Всемирному дню защиты прав потребителей</t>
  </si>
  <si>
    <t xml:space="preserve">4. Задача муниципальной программы:
систематическая оценка состояния потребительского рынка и системы защиты прав потребителей
</t>
  </si>
  <si>
    <t>Количество надзорных мероприятий, проводимых в отношении юридических лиц, предпринимателей по соблюдению установленных  мест санкционированной  торговли</t>
  </si>
  <si>
    <t>Количество надзорных мероприятий, проводимых в отношении юридических лиц, предпринимателей при осуществлении муниципального контроля в сфере торговой деятельности</t>
  </si>
  <si>
    <t xml:space="preserve">R=12
N=4
</t>
  </si>
  <si>
    <t xml:space="preserve">R=3xN 12=12            
</t>
  </si>
  <si>
    <t>Реализация признается целесообразной.</t>
  </si>
  <si>
    <t xml:space="preserve">Плановая эффектив-ность </t>
  </si>
  <si>
    <r>
      <t>1. Задача муниципальной программы: создание условий для преодоления  культурной изоляции и обогащения межрегионального и межнационального диалога, сохранение и охрана культурного и исторического наследия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Новозыбковсклго городского округа</t>
    </r>
    <r>
      <rPr>
        <b/>
        <sz val="10"/>
        <color indexed="10"/>
        <rFont val="Times New Roman"/>
        <family val="1"/>
      </rPr>
      <t xml:space="preserve">, </t>
    </r>
    <r>
      <rPr>
        <b/>
        <sz val="10"/>
        <rFont val="Times New Roman"/>
        <family val="1"/>
      </rPr>
      <t>создание условий для расширения доступа различных категорий населения городского округа к культурным ценностям</t>
    </r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</si>
  <si>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Новозыбковский городской округ              </t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</si>
  <si>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Новозыбковский городской округ </t>
  </si>
  <si>
    <t>1. Цель муниципальной программы:
Разработка единого комплекса мероприятий, направленных на обеспечение оптимальных решений системных проблем в области функционирования и развития коммунальной инфраструктуры муниципального образования ««Новозыбковский городской округ Брянской области»</t>
  </si>
  <si>
    <t>1. Доля объемов потребления электрической энергии по приборам учета (в части МКД - с использованием коллективных приборов учета)</t>
  </si>
  <si>
    <t>2. Доля объемов потребления тепловой энергии по приборам учета (в части МКД - с использованием коллективных приборов учета)</t>
  </si>
  <si>
    <t>3. Доля объемов потребления воды по приборам учета (в части МКД - с использованием коллективных приборов учета)</t>
  </si>
  <si>
    <t xml:space="preserve">R=3
N=1
</t>
  </si>
  <si>
    <t xml:space="preserve">R=3xN 3=3            
</t>
  </si>
  <si>
    <t xml:space="preserve">Реализация признается целесообразной, продолжается 
финансирование мероприятий
</t>
  </si>
  <si>
    <r>
      <t xml:space="preserve">  4.1.Задача муниципальной программы:
</t>
    </r>
    <r>
      <rPr>
        <b/>
        <sz val="10"/>
        <rFont val="Times New Roman"/>
        <family val="1"/>
      </rPr>
      <t>Сохранение технических и экономических параметров функционирования транспортной системы городского округа</t>
    </r>
  </si>
  <si>
    <t xml:space="preserve">1. Цель муниципальной программы:
Эффективное управление и распоряжение в рамках наделенных полномочий Комитета по управлению имуществом Новозыбковской городской администрации  </t>
  </si>
  <si>
    <t>1.Цель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Сохранение и развитие творческого потенциала Новозыбковского городского округа.</t>
  </si>
  <si>
    <t>1. Задача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Создание условий организации дополнительного образования в сфере культуры и искусства</t>
  </si>
  <si>
    <t>1. Цель муниципальной программы:
Получение населением    муниципального образования «Новозыбковский городской округ Брянской области» 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экономики.</t>
  </si>
  <si>
    <t xml:space="preserve">   1.Цель муниципальной программы:
Получение населением    муниципального образования «Новозыбковский городской округ Брянской области» 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экономики.</t>
  </si>
  <si>
    <t xml:space="preserve">Муниципальная программа "Развитие и сохранение культуры, физической культуры и спорта  Новозыбковского городского округа" </t>
  </si>
  <si>
    <t xml:space="preserve">Муниципальная программа "Управление муниципальными финансами" </t>
  </si>
  <si>
    <t xml:space="preserve">Муниципальная программа "Реализация полномочий органа местного самоуправления муниципального образования  Новозыбковский городской округ Брянской области" </t>
  </si>
  <si>
    <t xml:space="preserve">Муниципальная программа "Управление муниципальным имуществом"
</t>
  </si>
  <si>
    <t xml:space="preserve">Муниципальная программа  "Формирование современной городской среды на 2018-20204 годы  на территории Новозыбковского городского округа  Брянской области"
</t>
  </si>
  <si>
    <t xml:space="preserve">Муниципальная программа  Комплексное развитие систем коммунальной инфраструктуры муниципального образования "Новозыбковский городской округ Брянской области" (2018-2022 годы с перспективой до 2025года)" </t>
  </si>
  <si>
    <t>Муниципальной программы "Повышение качества водоснабжения населения Новозыбковского городского округа" на  2019-2024 гг.</t>
  </si>
  <si>
    <t xml:space="preserve">Муниципальной программы "Обеспечение защиты прав потребителей на территории муниципального образования "Новозыбковский городской округ Брянской области" (2020-2025 годы)
</t>
  </si>
  <si>
    <t xml:space="preserve">Муниципальная программа «Улучшение условий и охраны труда в организациях Новозыбковского городского округа на 2020-2024 годы» </t>
  </si>
  <si>
    <t xml:space="preserve">1. Цель муниципальной программы:
Улучшение условий и охраны труда и, как следствие,  снижение производственного травматизма и профессиональной заболеваемости на территории Новозыбковского городского округа
</t>
  </si>
  <si>
    <t xml:space="preserve">1. Задача муниципальной программы: 
Реализация превентивных мер, направленных на улучшение условий труда работников, снижение уровня производственного травматизма и профессиональной заболеваемости 
</t>
  </si>
  <si>
    <t>Исполнение бюджетных ассигнований, запланированных на решение задач муниципальной программы не предусмотрены</t>
  </si>
  <si>
    <t>Численность пострадавших в результате несчастных случаев на производстве со смертельным исходом</t>
  </si>
  <si>
    <t>человек</t>
  </si>
  <si>
    <t>&lt; 2,0</t>
  </si>
  <si>
    <t>Численность лиц с установленным предварительным диагнозом профессионального заболевания по результатам проведения обязательных медицинских осмотров</t>
  </si>
  <si>
    <t>Количество рабочих мест, на которых проведена специальная оценка условий труда</t>
  </si>
  <si>
    <t xml:space="preserve">единица </t>
  </si>
  <si>
    <t>Количество работников, прошедших обучение по охране труда и проверку знаний требований охраны труда</t>
  </si>
  <si>
    <t xml:space="preserve">Реализация признается целесообразной, продолжается реализация мероприятий. </t>
  </si>
  <si>
    <r>
      <t xml:space="preserve">Сводный  отчет об итогах реализации и оценке эффективности муниципальных программ Новозыбковского городского округа Брянской области </t>
    </r>
    <r>
      <rPr>
        <b/>
        <i/>
        <sz val="18"/>
        <rFont val="Times New Roman"/>
        <family val="1"/>
      </rPr>
      <t>за 2021 год</t>
    </r>
  </si>
  <si>
    <t>Осуществление отдельных полномочий в области охраны труда и уведомительной регистрации территориальный соглашений и коллективных договоров</t>
  </si>
  <si>
    <t>R=15 N=5</t>
  </si>
  <si>
    <t xml:space="preserve">R=3xN 
15=15
</t>
  </si>
  <si>
    <t xml:space="preserve">плановая эффективность </t>
  </si>
  <si>
    <t>Реализация признана целесообразной, продолжается финансирование мероприятий</t>
  </si>
  <si>
    <t>R=7 N=3</t>
  </si>
  <si>
    <t>3 * N &gt; R &gt; 0,75 * (3*N)</t>
  </si>
  <si>
    <t>7 &gt; 0,75 * (3*3)</t>
  </si>
  <si>
    <t>Эффективность ниже плановой</t>
  </si>
  <si>
    <t xml:space="preserve">Реализация признается удовлетворительной. Произошло снижение числа организаций и предприятий в условиях пандемии. Принимаемые меры государственной поддержки нацелены на перспективу и восстановления ситуации. Реализацию программы необходимо продлить, внести корректировку целевых значений показателей (индикаторов), принимая во внимание изменение структуры МСП (увеличение числа самозанятых граждан)
</t>
  </si>
  <si>
    <t xml:space="preserve">2.Цель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Реализация единой государственной политики в сфере защиты прав и законных интересов несовершеннолетних». </t>
  </si>
  <si>
    <t xml:space="preserve">3.Задача муниципальной программы:
Защита прав и законных интересов несовершеннолетних, лиц из числа детей-сирот и 
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
</t>
  </si>
  <si>
    <t xml:space="preserve">Сокращение доли детей-сирот и детей, оставшихся без попечения родителей от общей численности населения в возрасте от 0 до 17 лет </t>
  </si>
  <si>
    <t>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от общего количества  детей, которые состоят на учете в органах опеки и попечительства</t>
  </si>
  <si>
    <t>R=11       N=3</t>
  </si>
  <si>
    <t>R&gt;3xN  11&gt;3x3     11&gt;9</t>
  </si>
  <si>
    <t>эффективность выше плановой</t>
  </si>
  <si>
    <t xml:space="preserve">Реализация признается целесообразной, продолжается финансирование мероприятий. Возможно рассмотрение вопроса о дополнительном финансировании мероприятий путем дополнительного выделения денежных средств </t>
  </si>
  <si>
    <t xml:space="preserve">R=6
N=2
</t>
  </si>
  <si>
    <t xml:space="preserve">R= 3 x N
6=3 x 2
6=6
</t>
  </si>
  <si>
    <t xml:space="preserve">Плановая эффективность  </t>
  </si>
  <si>
    <t>50,0&lt;</t>
  </si>
  <si>
    <t xml:space="preserve">R&lt;0,75x   (3xN)       1&lt;2,2            
</t>
  </si>
  <si>
    <t xml:space="preserve">R =3 x N
3=3
</t>
  </si>
  <si>
    <t xml:space="preserve">Реализация признана целесообразной, продолжается финансирование мероприятий  </t>
  </si>
  <si>
    <t>Соотношение средней заработной платы работников муниципальных учреждений культуры к средней заработной плате в  Новозыбковском городском округе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</si>
</sst>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  <numFmt numFmtId="193" formatCode="0.0000000"/>
    <numFmt numFmtId="194" formatCode="0.00000000"/>
    <numFmt numFmtId="195" formatCode="0.0000E+00"/>
    <numFmt numFmtId="196" formatCode="0.000E+00"/>
    <numFmt numFmtId="197" formatCode="0.0E+00"/>
    <numFmt numFmtId="198" formatCode="0.00000E+00"/>
    <numFmt numFmtId="199" formatCode="0.000000E+00"/>
    <numFmt numFmtId="200" formatCode="0.0000000E+00"/>
    <numFmt numFmtId="201" formatCode="0.000000000"/>
    <numFmt numFmtId="202" formatCode="0.0000000000"/>
    <numFmt numFmtId="203" formatCode="0.00000000000"/>
    <numFmt numFmtId="204" formatCode="0E+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&quot;р.&quot;"/>
    <numFmt numFmtId="210" formatCode="#,##0.0"/>
    <numFmt numFmtId="211" formatCode="#,##0.00;[Red]#,##0.00"/>
    <numFmt numFmtId="212" formatCode="#,##0.000"/>
  </numFmts>
  <fonts count="12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b/>
      <i/>
      <sz val="1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6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.05"/>
      <color indexed="8"/>
      <name val="Times New Roman"/>
      <family val="1"/>
    </font>
    <font>
      <sz val="10.1"/>
      <color indexed="8"/>
      <name val="Times New Roman"/>
      <family val="1"/>
    </font>
    <font>
      <sz val="10.7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.75"/>
      <color indexed="8"/>
      <name val="Times New Roman"/>
      <family val="1"/>
    </font>
    <font>
      <b/>
      <sz val="8.25"/>
      <color indexed="8"/>
      <name val="Times New Roman"/>
      <family val="1"/>
    </font>
    <font>
      <sz val="9.2"/>
      <color indexed="8"/>
      <name val="Times New Roman"/>
      <family val="1"/>
    </font>
    <font>
      <sz val="10"/>
      <color indexed="8"/>
      <name val="Times New Roman"/>
      <family val="1"/>
    </font>
    <font>
      <sz val="9.2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.7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2"/>
      <name val="Cambria"/>
      <family val="1"/>
    </font>
    <font>
      <u val="single"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b/>
      <sz val="12.75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1" applyNumberFormat="0" applyAlignment="0" applyProtection="0"/>
    <xf numFmtId="0" fontId="103" fillId="26" borderId="2" applyNumberFormat="0" applyAlignment="0" applyProtection="0"/>
    <xf numFmtId="0" fontId="104" fillId="26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7" borderId="7" applyNumberFormat="0" applyAlignment="0" applyProtection="0"/>
    <xf numFmtId="0" fontId="110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6" fillId="31" borderId="0" applyNumberFormat="0" applyBorder="0" applyAlignment="0" applyProtection="0"/>
  </cellStyleXfs>
  <cellXfs count="7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9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90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90" fontId="0" fillId="0" borderId="11" xfId="0" applyNumberFormat="1" applyBorder="1" applyAlignment="1">
      <alignment/>
    </xf>
    <xf numFmtId="190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9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90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90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90" fontId="0" fillId="0" borderId="10" xfId="0" applyNumberFormat="1" applyFill="1" applyBorder="1" applyAlignment="1">
      <alignment/>
    </xf>
    <xf numFmtId="190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9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91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90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90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91" fontId="15" fillId="0" borderId="0" xfId="0" applyNumberFormat="1" applyFont="1" applyAlignment="1">
      <alignment horizontal="left" vertical="center"/>
    </xf>
    <xf numFmtId="191" fontId="14" fillId="0" borderId="14" xfId="0" applyNumberFormat="1" applyFont="1" applyFill="1" applyBorder="1" applyAlignment="1">
      <alignment horizontal="left" vertical="center" wrapText="1"/>
    </xf>
    <xf numFmtId="191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90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90" fontId="0" fillId="4" borderId="35" xfId="0" applyNumberFormat="1" applyFill="1" applyBorder="1" applyAlignment="1">
      <alignment/>
    </xf>
    <xf numFmtId="190" fontId="3" fillId="0" borderId="14" xfId="0" applyNumberFormat="1" applyFont="1" applyBorder="1" applyAlignment="1">
      <alignment horizontal="left"/>
    </xf>
    <xf numFmtId="191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90" fontId="14" fillId="0" borderId="14" xfId="0" applyNumberFormat="1" applyFont="1" applyFill="1" applyBorder="1" applyAlignment="1">
      <alignment horizontal="left" vertical="center" wrapText="1"/>
    </xf>
    <xf numFmtId="189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9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90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90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90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90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90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90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90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90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91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90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91" fontId="0" fillId="0" borderId="18" xfId="0" applyNumberFormat="1" applyBorder="1" applyAlignment="1">
      <alignment/>
    </xf>
    <xf numFmtId="0" fontId="32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90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90" fontId="0" fillId="0" borderId="17" xfId="0" applyNumberFormat="1" applyFill="1" applyBorder="1" applyAlignment="1">
      <alignment/>
    </xf>
    <xf numFmtId="190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90" fontId="10" fillId="3" borderId="35" xfId="0" applyNumberFormat="1" applyFont="1" applyFill="1" applyBorder="1" applyAlignment="1">
      <alignment/>
    </xf>
    <xf numFmtId="190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91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0" fillId="38" borderId="11" xfId="0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190" fontId="10" fillId="39" borderId="35" xfId="0" applyNumberFormat="1" applyFont="1" applyFill="1" applyBorder="1" applyAlignment="1">
      <alignment/>
    </xf>
    <xf numFmtId="0" fontId="0" fillId="39" borderId="42" xfId="0" applyFill="1" applyBorder="1" applyAlignment="1">
      <alignment horizontal="left" vertical="center" wrapText="1"/>
    </xf>
    <xf numFmtId="190" fontId="0" fillId="3" borderId="11" xfId="0" applyNumberFormat="1" applyFill="1" applyBorder="1" applyAlignment="1">
      <alignment/>
    </xf>
    <xf numFmtId="190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36" xfId="0" applyFill="1" applyBorder="1" applyAlignment="1">
      <alignment/>
    </xf>
    <xf numFmtId="2" fontId="0" fillId="38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9" fontId="10" fillId="38" borderId="36" xfId="0" applyNumberFormat="1" applyFont="1" applyFill="1" applyBorder="1" applyAlignment="1">
      <alignment/>
    </xf>
    <xf numFmtId="189" fontId="10" fillId="38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90" fontId="0" fillId="38" borderId="36" xfId="0" applyNumberFormat="1" applyFill="1" applyBorder="1" applyAlignment="1">
      <alignment/>
    </xf>
    <xf numFmtId="190" fontId="0" fillId="38" borderId="57" xfId="0" applyNumberFormat="1" applyFill="1" applyBorder="1" applyAlignment="1">
      <alignment/>
    </xf>
    <xf numFmtId="0" fontId="0" fillId="38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90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90" fontId="9" fillId="0" borderId="53" xfId="0" applyNumberFormat="1" applyFont="1" applyBorder="1" applyAlignment="1">
      <alignment/>
    </xf>
    <xf numFmtId="190" fontId="9" fillId="0" borderId="54" xfId="0" applyNumberFormat="1" applyFont="1" applyBorder="1" applyAlignment="1">
      <alignment/>
    </xf>
    <xf numFmtId="190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9" fontId="0" fillId="0" borderId="35" xfId="0" applyNumberFormat="1" applyBorder="1" applyAlignment="1">
      <alignment/>
    </xf>
    <xf numFmtId="189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39" borderId="40" xfId="0" applyFill="1" applyBorder="1" applyAlignment="1">
      <alignment horizontal="left" vertical="center"/>
    </xf>
    <xf numFmtId="0" fontId="0" fillId="39" borderId="35" xfId="0" applyFill="1" applyBorder="1" applyAlignment="1">
      <alignment/>
    </xf>
    <xf numFmtId="0" fontId="0" fillId="39" borderId="10" xfId="0" applyFill="1" applyBorder="1" applyAlignment="1">
      <alignment/>
    </xf>
    <xf numFmtId="189" fontId="0" fillId="39" borderId="10" xfId="0" applyNumberFormat="1" applyFill="1" applyBorder="1" applyAlignment="1">
      <alignment/>
    </xf>
    <xf numFmtId="0" fontId="0" fillId="39" borderId="38" xfId="0" applyFill="1" applyBorder="1" applyAlignment="1">
      <alignment horizontal="left" vertical="center"/>
    </xf>
    <xf numFmtId="0" fontId="0" fillId="39" borderId="46" xfId="0" applyFill="1" applyBorder="1" applyAlignment="1">
      <alignment/>
    </xf>
    <xf numFmtId="0" fontId="11" fillId="39" borderId="67" xfId="0" applyFont="1" applyFill="1" applyBorder="1" applyAlignment="1">
      <alignment horizontal="left" vertical="center" wrapText="1"/>
    </xf>
    <xf numFmtId="0" fontId="11" fillId="39" borderId="53" xfId="0" applyFont="1" applyFill="1" applyBorder="1" applyAlignment="1">
      <alignment/>
    </xf>
    <xf numFmtId="0" fontId="0" fillId="39" borderId="53" xfId="0" applyFill="1" applyBorder="1" applyAlignment="1">
      <alignment/>
    </xf>
    <xf numFmtId="2" fontId="11" fillId="39" borderId="53" xfId="0" applyNumberFormat="1" applyFont="1" applyFill="1" applyBorder="1" applyAlignment="1">
      <alignment/>
    </xf>
    <xf numFmtId="2" fontId="11" fillId="39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90" fontId="8" fillId="0" borderId="36" xfId="0" applyNumberFormat="1" applyFont="1" applyBorder="1" applyAlignment="1">
      <alignment horizontal="center"/>
    </xf>
    <xf numFmtId="190" fontId="8" fillId="0" borderId="57" xfId="0" applyNumberFormat="1" applyFont="1" applyBorder="1" applyAlignment="1">
      <alignment horizontal="center"/>
    </xf>
    <xf numFmtId="190" fontId="7" fillId="40" borderId="10" xfId="0" applyNumberFormat="1" applyFont="1" applyFill="1" applyBorder="1" applyAlignment="1">
      <alignment/>
    </xf>
    <xf numFmtId="0" fontId="0" fillId="40" borderId="11" xfId="0" applyFill="1" applyBorder="1" applyAlignment="1">
      <alignment/>
    </xf>
    <xf numFmtId="190" fontId="0" fillId="40" borderId="11" xfId="0" applyNumberFormat="1" applyFill="1" applyBorder="1" applyAlignment="1">
      <alignment/>
    </xf>
    <xf numFmtId="190" fontId="6" fillId="40" borderId="10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8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1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91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191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8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91" fontId="0" fillId="0" borderId="10" xfId="0" applyNumberFormat="1" applyFill="1" applyBorder="1" applyAlignment="1">
      <alignment/>
    </xf>
    <xf numFmtId="191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71" xfId="0" applyFont="1" applyFill="1" applyBorder="1" applyAlignment="1">
      <alignment horizontal="left" vertical="center"/>
    </xf>
    <xf numFmtId="0" fontId="16" fillId="0" borderId="7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3" fillId="42" borderId="71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center"/>
    </xf>
    <xf numFmtId="0" fontId="47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left" vertical="center" wrapText="1"/>
    </xf>
    <xf numFmtId="0" fontId="16" fillId="42" borderId="10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horizontal="center" vertical="top" wrapText="1"/>
    </xf>
    <xf numFmtId="0" fontId="1" fillId="42" borderId="10" xfId="0" applyFont="1" applyFill="1" applyBorder="1" applyAlignment="1">
      <alignment horizontal="center" vertical="center" wrapText="1"/>
    </xf>
    <xf numFmtId="0" fontId="16" fillId="42" borderId="10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left" vertical="center"/>
    </xf>
    <xf numFmtId="0" fontId="14" fillId="42" borderId="11" xfId="0" applyFont="1" applyFill="1" applyBorder="1" applyAlignment="1">
      <alignment horizontal="center" vertical="center"/>
    </xf>
    <xf numFmtId="191" fontId="14" fillId="42" borderId="35" xfId="0" applyNumberFormat="1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16" fillId="42" borderId="35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left" vertical="center"/>
    </xf>
    <xf numFmtId="0" fontId="49" fillId="42" borderId="35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 wrapText="1"/>
    </xf>
    <xf numFmtId="0" fontId="23" fillId="42" borderId="71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/>
    </xf>
    <xf numFmtId="0" fontId="24" fillId="42" borderId="12" xfId="0" applyFont="1" applyFill="1" applyBorder="1" applyAlignment="1">
      <alignment horizontal="center" vertical="top" wrapText="1"/>
    </xf>
    <xf numFmtId="0" fontId="24" fillId="42" borderId="10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center" vertical="center"/>
    </xf>
    <xf numFmtId="0" fontId="14" fillId="42" borderId="0" xfId="0" applyFont="1" applyFill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24" fillId="42" borderId="11" xfId="0" applyFont="1" applyFill="1" applyBorder="1" applyAlignment="1">
      <alignment horizontal="center" vertical="top" wrapText="1"/>
    </xf>
    <xf numFmtId="0" fontId="14" fillId="42" borderId="10" xfId="0" applyFont="1" applyFill="1" applyBorder="1" applyAlignment="1">
      <alignment horizontal="center" vertical="center" wrapText="1"/>
    </xf>
    <xf numFmtId="0" fontId="87" fillId="42" borderId="10" xfId="0" applyFont="1" applyFill="1" applyBorder="1" applyAlignment="1">
      <alignment horizontal="center" vertical="center" wrapText="1"/>
    </xf>
    <xf numFmtId="0" fontId="24" fillId="42" borderId="0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left" vertical="center"/>
    </xf>
    <xf numFmtId="0" fontId="87" fillId="42" borderId="0" xfId="0" applyFont="1" applyFill="1" applyBorder="1" applyAlignment="1">
      <alignment horizontal="center" vertical="center" wrapText="1"/>
    </xf>
    <xf numFmtId="0" fontId="14" fillId="42" borderId="11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vertical="center" wrapText="1"/>
    </xf>
    <xf numFmtId="0" fontId="23" fillId="42" borderId="71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/>
    </xf>
    <xf numFmtId="0" fontId="14" fillId="42" borderId="71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justify"/>
    </xf>
    <xf numFmtId="0" fontId="15" fillId="42" borderId="10" xfId="0" applyFont="1" applyFill="1" applyBorder="1" applyAlignment="1">
      <alignment vertical="center"/>
    </xf>
    <xf numFmtId="0" fontId="88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center"/>
    </xf>
    <xf numFmtId="0" fontId="89" fillId="42" borderId="0" xfId="0" applyFont="1" applyFill="1" applyAlignment="1">
      <alignment vertical="center" wrapText="1"/>
    </xf>
    <xf numFmtId="0" fontId="23" fillId="42" borderId="35" xfId="0" applyFont="1" applyFill="1" applyBorder="1" applyAlignment="1">
      <alignment horizontal="center" vertical="center"/>
    </xf>
    <xf numFmtId="191" fontId="14" fillId="42" borderId="34" xfId="0" applyNumberFormat="1" applyFont="1" applyFill="1" applyBorder="1" applyAlignment="1">
      <alignment horizontal="center" vertical="center"/>
    </xf>
    <xf numFmtId="0" fontId="23" fillId="42" borderId="56" xfId="0" applyFont="1" applyFill="1" applyBorder="1" applyAlignment="1">
      <alignment horizontal="center" vertical="center"/>
    </xf>
    <xf numFmtId="0" fontId="14" fillId="42" borderId="56" xfId="0" applyFont="1" applyFill="1" applyBorder="1" applyAlignment="1">
      <alignment horizontal="center" vertical="center" wrapText="1"/>
    </xf>
    <xf numFmtId="191" fontId="14" fillId="42" borderId="56" xfId="0" applyNumberFormat="1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vertical="center" wrapText="1"/>
    </xf>
    <xf numFmtId="191" fontId="14" fillId="42" borderId="10" xfId="0" applyNumberFormat="1" applyFont="1" applyFill="1" applyBorder="1" applyAlignment="1">
      <alignment horizontal="center" vertical="center" wrapText="1"/>
    </xf>
    <xf numFmtId="2" fontId="2" fillId="42" borderId="0" xfId="0" applyNumberFormat="1" applyFont="1" applyFill="1" applyAlignment="1">
      <alignment vertical="center" wrapText="1"/>
    </xf>
    <xf numFmtId="0" fontId="14" fillId="42" borderId="10" xfId="0" applyFont="1" applyFill="1" applyBorder="1" applyAlignment="1">
      <alignment horizontal="left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3" fillId="42" borderId="12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16" fillId="4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87" fillId="0" borderId="10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 wrapText="1"/>
    </xf>
    <xf numFmtId="0" fontId="14" fillId="42" borderId="0" xfId="0" applyFont="1" applyFill="1" applyAlignment="1">
      <alignment horizontal="left" vertical="center" wrapText="1"/>
    </xf>
    <xf numFmtId="0" fontId="2" fillId="42" borderId="0" xfId="0" applyFont="1" applyFill="1" applyAlignment="1">
      <alignment horizontal="left" vertical="center" wrapText="1"/>
    </xf>
    <xf numFmtId="0" fontId="14" fillId="42" borderId="10" xfId="0" applyFont="1" applyFill="1" applyBorder="1" applyAlignment="1">
      <alignment vertical="justify" wrapText="1"/>
    </xf>
    <xf numFmtId="0" fontId="14" fillId="42" borderId="10" xfId="0" applyFont="1" applyFill="1" applyBorder="1" applyAlignment="1">
      <alignment horizontal="left" vertical="justify" wrapText="1"/>
    </xf>
    <xf numFmtId="0" fontId="2" fillId="42" borderId="0" xfId="0" applyFont="1" applyFill="1" applyAlignment="1">
      <alignment vertical="justify" wrapText="1"/>
    </xf>
    <xf numFmtId="0" fontId="2" fillId="42" borderId="10" xfId="0" applyFont="1" applyFill="1" applyBorder="1" applyAlignment="1">
      <alignment vertical="justify" wrapText="1"/>
    </xf>
    <xf numFmtId="0" fontId="14" fillId="42" borderId="25" xfId="0" applyFont="1" applyFill="1" applyBorder="1" applyAlignment="1">
      <alignment vertical="center"/>
    </xf>
    <xf numFmtId="0" fontId="37" fillId="4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5" fillId="42" borderId="11" xfId="0" applyFont="1" applyFill="1" applyBorder="1" applyAlignment="1">
      <alignment vertical="center"/>
    </xf>
    <xf numFmtId="0" fontId="14" fillId="0" borderId="0" xfId="0" applyFont="1" applyAlignment="1">
      <alignment horizontal="left" vertical="justify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justify" vertical="justify"/>
    </xf>
    <xf numFmtId="0" fontId="2" fillId="42" borderId="71" xfId="0" applyFont="1" applyFill="1" applyBorder="1" applyAlignment="1">
      <alignment horizontal="left" vertical="top" wrapText="1"/>
    </xf>
    <xf numFmtId="0" fontId="90" fillId="42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4" fillId="0" borderId="48" xfId="0" applyFont="1" applyBorder="1" applyAlignment="1">
      <alignment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117" fillId="0" borderId="32" xfId="0" applyFont="1" applyBorder="1" applyAlignment="1">
      <alignment horizontal="center" vertical="center"/>
    </xf>
    <xf numFmtId="3" fontId="2" fillId="0" borderId="48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4" fontId="2" fillId="0" borderId="48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3" fillId="42" borderId="73" xfId="0" applyFont="1" applyFill="1" applyBorder="1" applyAlignment="1">
      <alignment horizontal="center" vertical="center"/>
    </xf>
    <xf numFmtId="0" fontId="14" fillId="42" borderId="47" xfId="0" applyFont="1" applyFill="1" applyBorder="1" applyAlignment="1">
      <alignment vertical="justify" wrapText="1"/>
    </xf>
    <xf numFmtId="0" fontId="23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" fillId="0" borderId="74" xfId="0" applyFont="1" applyBorder="1" applyAlignment="1">
      <alignment vertical="center" wrapText="1"/>
    </xf>
    <xf numFmtId="0" fontId="2" fillId="0" borderId="75" xfId="0" applyFont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14" fillId="42" borderId="25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justify"/>
    </xf>
    <xf numFmtId="0" fontId="14" fillId="0" borderId="10" xfId="0" applyFont="1" applyBorder="1" applyAlignment="1">
      <alignment horizontal="left" vertical="center" wrapText="1"/>
    </xf>
    <xf numFmtId="0" fontId="2" fillId="0" borderId="48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16" fillId="42" borderId="10" xfId="0" applyFont="1" applyFill="1" applyBorder="1" applyAlignment="1">
      <alignment horizontal="center" vertical="justify" wrapText="1"/>
    </xf>
    <xf numFmtId="0" fontId="14" fillId="42" borderId="10" xfId="0" applyFont="1" applyFill="1" applyBorder="1" applyAlignment="1">
      <alignment horizontal="center" vertical="justify"/>
    </xf>
    <xf numFmtId="0" fontId="14" fillId="42" borderId="10" xfId="0" applyFont="1" applyFill="1" applyBorder="1" applyAlignment="1">
      <alignment horizontal="left" vertical="justify"/>
    </xf>
    <xf numFmtId="191" fontId="2" fillId="0" borderId="14" xfId="0" applyNumberFormat="1" applyFont="1" applyBorder="1" applyAlignment="1">
      <alignment horizontal="center" vertical="center" wrapText="1"/>
    </xf>
    <xf numFmtId="0" fontId="23" fillId="42" borderId="25" xfId="0" applyFont="1" applyFill="1" applyBorder="1" applyAlignment="1">
      <alignment horizontal="center" vertical="center" wrapText="1"/>
    </xf>
    <xf numFmtId="0" fontId="14" fillId="42" borderId="11" xfId="0" applyFont="1" applyFill="1" applyBorder="1" applyAlignment="1">
      <alignment horizontal="left" vertical="center"/>
    </xf>
    <xf numFmtId="0" fontId="118" fillId="0" borderId="13" xfId="0" applyFont="1" applyBorder="1" applyAlignment="1">
      <alignment vertical="center" wrapText="1"/>
    </xf>
    <xf numFmtId="0" fontId="46" fillId="0" borderId="74" xfId="0" applyFont="1" applyBorder="1" applyAlignment="1">
      <alignment horizontal="center" vertical="center" wrapText="1"/>
    </xf>
    <xf numFmtId="0" fontId="46" fillId="0" borderId="75" xfId="0" applyFont="1" applyBorder="1" applyAlignment="1">
      <alignment horizontal="center" vertical="center" wrapText="1"/>
    </xf>
    <xf numFmtId="0" fontId="46" fillId="0" borderId="7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justify" wrapText="1"/>
    </xf>
    <xf numFmtId="0" fontId="55" fillId="0" borderId="0" xfId="0" applyFont="1" applyAlignment="1">
      <alignment horizontal="left" vertical="center"/>
    </xf>
    <xf numFmtId="0" fontId="37" fillId="42" borderId="10" xfId="0" applyFont="1" applyFill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14" fillId="42" borderId="0" xfId="0" applyFont="1" applyFill="1" applyAlignment="1">
      <alignment horizontal="left" vertical="center"/>
    </xf>
    <xf numFmtId="0" fontId="55" fillId="42" borderId="0" xfId="0" applyFont="1" applyFill="1" applyAlignment="1">
      <alignment horizontal="left" vertical="center"/>
    </xf>
    <xf numFmtId="0" fontId="2" fillId="0" borderId="78" xfId="0" applyFont="1" applyBorder="1" applyAlignment="1">
      <alignment horizontal="center" vertical="center" wrapText="1"/>
    </xf>
    <xf numFmtId="0" fontId="119" fillId="0" borderId="78" xfId="0" applyFont="1" applyBorder="1" applyAlignment="1">
      <alignment horizontal="center" vertical="center" wrapText="1"/>
    </xf>
    <xf numFmtId="0" fontId="120" fillId="0" borderId="78" xfId="0" applyFont="1" applyBorder="1" applyAlignment="1">
      <alignment horizontal="center" vertical="center" wrapText="1"/>
    </xf>
    <xf numFmtId="0" fontId="119" fillId="0" borderId="74" xfId="0" applyFont="1" applyBorder="1" applyAlignment="1">
      <alignment vertical="center" wrapText="1"/>
    </xf>
    <xf numFmtId="0" fontId="4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wrapText="1"/>
    </xf>
    <xf numFmtId="0" fontId="14" fillId="0" borderId="48" xfId="0" applyFont="1" applyBorder="1" applyAlignment="1">
      <alignment horizontal="center" wrapText="1"/>
    </xf>
    <xf numFmtId="0" fontId="14" fillId="42" borderId="10" xfId="0" applyFont="1" applyFill="1" applyBorder="1" applyAlignment="1">
      <alignment horizontal="left" vertical="top" wrapText="1"/>
    </xf>
    <xf numFmtId="210" fontId="2" fillId="0" borderId="13" xfId="0" applyNumberFormat="1" applyFont="1" applyBorder="1" applyAlignment="1">
      <alignment horizontal="center" vertical="center" wrapText="1"/>
    </xf>
    <xf numFmtId="210" fontId="2" fillId="0" borderId="14" xfId="0" applyNumberFormat="1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3" borderId="58" xfId="0" applyFill="1" applyBorder="1" applyAlignment="1">
      <alignment horizontal="center" vertical="center" wrapText="1"/>
    </xf>
    <xf numFmtId="0" fontId="0" fillId="43" borderId="59" xfId="0" applyFill="1" applyBorder="1" applyAlignment="1">
      <alignment horizontal="center" vertical="center" wrapText="1"/>
    </xf>
    <xf numFmtId="0" fontId="0" fillId="43" borderId="13" xfId="0" applyFill="1" applyBorder="1" applyAlignment="1">
      <alignment horizontal="center" vertical="center" wrapText="1"/>
    </xf>
    <xf numFmtId="0" fontId="6" fillId="0" borderId="79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24" fillId="42" borderId="10" xfId="0" applyFont="1" applyFill="1" applyBorder="1" applyAlignment="1">
      <alignment horizontal="center" vertical="justify" wrapText="1"/>
    </xf>
    <xf numFmtId="0" fontId="24" fillId="42" borderId="10" xfId="0" applyFont="1" applyFill="1" applyBorder="1" applyAlignment="1">
      <alignment horizontal="center" vertical="justify"/>
    </xf>
    <xf numFmtId="0" fontId="24" fillId="42" borderId="71" xfId="0" applyFont="1" applyFill="1" applyBorder="1" applyAlignment="1">
      <alignment horizontal="center" vertical="justify" wrapText="1"/>
    </xf>
    <xf numFmtId="0" fontId="24" fillId="42" borderId="80" xfId="0" applyFont="1" applyFill="1" applyBorder="1" applyAlignment="1">
      <alignment horizontal="center" vertical="justify"/>
    </xf>
    <xf numFmtId="0" fontId="24" fillId="42" borderId="12" xfId="0" applyFont="1" applyFill="1" applyBorder="1" applyAlignment="1">
      <alignment horizontal="center" vertical="justify"/>
    </xf>
    <xf numFmtId="0" fontId="16" fillId="42" borderId="71" xfId="0" applyFont="1" applyFill="1" applyBorder="1" applyAlignment="1">
      <alignment horizontal="center" vertical="top" wrapText="1"/>
    </xf>
    <xf numFmtId="0" fontId="16" fillId="42" borderId="80" xfId="0" applyFont="1" applyFill="1" applyBorder="1" applyAlignment="1">
      <alignment horizontal="center" vertical="top" wrapText="1"/>
    </xf>
    <xf numFmtId="0" fontId="16" fillId="42" borderId="12" xfId="0" applyFont="1" applyFill="1" applyBorder="1" applyAlignment="1">
      <alignment horizontal="center" vertical="top" wrapText="1"/>
    </xf>
    <xf numFmtId="0" fontId="14" fillId="42" borderId="34" xfId="0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80" xfId="0" applyFont="1" applyFill="1" applyBorder="1" applyAlignment="1">
      <alignment horizontal="center" vertical="justify" wrapText="1"/>
    </xf>
    <xf numFmtId="0" fontId="24" fillId="42" borderId="12" xfId="0" applyFont="1" applyFill="1" applyBorder="1" applyAlignment="1">
      <alignment horizontal="center" vertical="justify" wrapText="1"/>
    </xf>
    <xf numFmtId="0" fontId="24" fillId="0" borderId="10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top" wrapText="1"/>
    </xf>
    <xf numFmtId="0" fontId="24" fillId="42" borderId="80" xfId="0" applyFont="1" applyFill="1" applyBorder="1" applyAlignment="1">
      <alignment horizontal="center" vertical="top" wrapText="1"/>
    </xf>
    <xf numFmtId="0" fontId="24" fillId="42" borderId="12" xfId="0" applyFont="1" applyFill="1" applyBorder="1" applyAlignment="1">
      <alignment horizontal="center" vertical="top" wrapText="1"/>
    </xf>
    <xf numFmtId="0" fontId="24" fillId="0" borderId="71" xfId="0" applyFont="1" applyFill="1" applyBorder="1" applyAlignment="1">
      <alignment horizontal="center" vertical="top" wrapText="1"/>
    </xf>
    <xf numFmtId="0" fontId="24" fillId="0" borderId="80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14" fillId="42" borderId="80" xfId="0" applyFont="1" applyFill="1" applyBorder="1" applyAlignment="1">
      <alignment horizontal="center" vertical="top" wrapText="1"/>
    </xf>
    <xf numFmtId="0" fontId="14" fillId="42" borderId="12" xfId="0" applyFont="1" applyFill="1" applyBorder="1" applyAlignment="1">
      <alignment horizontal="center" vertical="top" wrapText="1"/>
    </xf>
    <xf numFmtId="0" fontId="24" fillId="0" borderId="71" xfId="0" applyFont="1" applyFill="1" applyBorder="1" applyAlignment="1">
      <alignment horizontal="center" vertical="justify" wrapText="1"/>
    </xf>
    <xf numFmtId="0" fontId="24" fillId="0" borderId="80" xfId="0" applyFont="1" applyFill="1" applyBorder="1" applyAlignment="1">
      <alignment horizontal="center" vertical="justify" wrapText="1"/>
    </xf>
    <xf numFmtId="0" fontId="24" fillId="0" borderId="12" xfId="0" applyFont="1" applyFill="1" applyBorder="1" applyAlignment="1">
      <alignment horizontal="center" vertical="justify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42" borderId="71" xfId="0" applyFont="1" applyFill="1" applyBorder="1" applyAlignment="1">
      <alignment horizontal="center" vertical="center" wrapText="1"/>
    </xf>
    <xf numFmtId="0" fontId="24" fillId="42" borderId="80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24" fillId="42" borderId="73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42" borderId="73" xfId="0" applyFont="1" applyFill="1" applyBorder="1" applyAlignment="1">
      <alignment horizontal="center" vertical="justify" wrapText="1"/>
    </xf>
    <xf numFmtId="0" fontId="23" fillId="42" borderId="80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3" fillId="42" borderId="71" xfId="0" applyFont="1" applyFill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justify" wrapText="1"/>
    </xf>
    <xf numFmtId="0" fontId="24" fillId="0" borderId="80" xfId="0" applyFont="1" applyBorder="1" applyAlignment="1">
      <alignment horizontal="center" vertical="justify"/>
    </xf>
    <xf numFmtId="0" fontId="24" fillId="0" borderId="12" xfId="0" applyFont="1" applyBorder="1" applyAlignment="1">
      <alignment horizontal="center" vertical="justify"/>
    </xf>
    <xf numFmtId="0" fontId="37" fillId="42" borderId="80" xfId="0" applyFont="1" applyFill="1" applyBorder="1" applyAlignment="1">
      <alignment horizontal="center" vertical="top" wrapText="1"/>
    </xf>
    <xf numFmtId="0" fontId="37" fillId="42" borderId="12" xfId="0" applyFont="1" applyFill="1" applyBorder="1" applyAlignment="1">
      <alignment horizontal="center" vertical="top" wrapText="1"/>
    </xf>
    <xf numFmtId="0" fontId="24" fillId="42" borderId="10" xfId="0" applyFont="1" applyFill="1" applyBorder="1" applyAlignment="1">
      <alignment horizontal="center" vertical="center"/>
    </xf>
    <xf numFmtId="0" fontId="24" fillId="0" borderId="80" xfId="0" applyFont="1" applyBorder="1" applyAlignment="1">
      <alignment horizontal="center" vertical="justify" wrapText="1"/>
    </xf>
    <xf numFmtId="0" fontId="24" fillId="0" borderId="12" xfId="0" applyFont="1" applyBorder="1" applyAlignment="1">
      <alignment horizontal="center" vertical="justify" wrapText="1"/>
    </xf>
    <xf numFmtId="0" fontId="23" fillId="0" borderId="80" xfId="0" applyFont="1" applyBorder="1" applyAlignment="1">
      <alignment horizontal="center" vertical="justify" wrapText="1"/>
    </xf>
    <xf numFmtId="0" fontId="23" fillId="0" borderId="12" xfId="0" applyFont="1" applyBorder="1" applyAlignment="1">
      <alignment horizontal="center" vertical="justify" wrapText="1"/>
    </xf>
    <xf numFmtId="0" fontId="2" fillId="0" borderId="71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justify" wrapText="1"/>
    </xf>
    <xf numFmtId="0" fontId="16" fillId="0" borderId="80" xfId="0" applyFont="1" applyBorder="1" applyAlignment="1">
      <alignment horizontal="center" vertical="justify"/>
    </xf>
    <xf numFmtId="0" fontId="16" fillId="0" borderId="12" xfId="0" applyFont="1" applyBorder="1" applyAlignment="1">
      <alignment horizontal="center" vertical="justify"/>
    </xf>
    <xf numFmtId="0" fontId="16" fillId="0" borderId="80" xfId="0" applyFont="1" applyBorder="1" applyAlignment="1">
      <alignment horizontal="center" vertical="justify" wrapText="1"/>
    </xf>
    <xf numFmtId="0" fontId="16" fillId="0" borderId="12" xfId="0" applyFont="1" applyBorder="1" applyAlignment="1">
      <alignment horizontal="center" vertical="justify" wrapText="1"/>
    </xf>
    <xf numFmtId="0" fontId="16" fillId="42" borderId="71" xfId="0" applyFont="1" applyFill="1" applyBorder="1" applyAlignment="1">
      <alignment horizontal="center" vertical="justify" wrapText="1"/>
    </xf>
    <xf numFmtId="0" fontId="16" fillId="42" borderId="80" xfId="0" applyFont="1" applyFill="1" applyBorder="1" applyAlignment="1">
      <alignment horizontal="center" vertical="justify"/>
    </xf>
    <xf numFmtId="0" fontId="16" fillId="42" borderId="12" xfId="0" applyFont="1" applyFill="1" applyBorder="1" applyAlignment="1">
      <alignment horizontal="center" vertical="justify"/>
    </xf>
    <xf numFmtId="0" fontId="23" fillId="0" borderId="71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39" fillId="0" borderId="58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23" fillId="0" borderId="44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8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42" borderId="73" xfId="0" applyFont="1" applyFill="1" applyBorder="1" applyAlignment="1">
      <alignment horizontal="center" vertical="center" wrapText="1"/>
    </xf>
    <xf numFmtId="0" fontId="46" fillId="42" borderId="73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0" fontId="37" fillId="0" borderId="80" xfId="0" applyFont="1" applyFill="1" applyBorder="1" applyAlignment="1">
      <alignment horizontal="center" vertical="justify" wrapText="1"/>
    </xf>
    <xf numFmtId="0" fontId="37" fillId="42" borderId="80" xfId="0" applyFont="1" applyFill="1" applyBorder="1" applyAlignment="1">
      <alignment horizontal="center" vertical="justify" wrapText="1"/>
    </xf>
    <xf numFmtId="0" fontId="37" fillId="0" borderId="71" xfId="0" applyFont="1" applyBorder="1" applyAlignment="1">
      <alignment horizontal="center" vertical="center" wrapText="1"/>
    </xf>
    <xf numFmtId="0" fontId="37" fillId="42" borderId="71" xfId="0" applyFont="1" applyFill="1" applyBorder="1" applyAlignment="1">
      <alignment horizontal="center" vertical="justify" wrapText="1"/>
    </xf>
    <xf numFmtId="0" fontId="37" fillId="42" borderId="80" xfId="0" applyFont="1" applyFill="1" applyBorder="1" applyAlignment="1">
      <alignment horizontal="center" vertical="justify"/>
    </xf>
    <xf numFmtId="0" fontId="37" fillId="42" borderId="12" xfId="0" applyFont="1" applyFill="1" applyBorder="1" applyAlignment="1">
      <alignment horizontal="center" vertical="justify"/>
    </xf>
    <xf numFmtId="0" fontId="37" fillId="0" borderId="8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36667038"/>
        <c:axId val="61567887"/>
      </c:scatterChart>
      <c:valAx>
        <c:axId val="3666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1567887"/>
        <c:crosses val="autoZero"/>
        <c:crossBetween val="midCat"/>
        <c:dispUnits/>
      </c:valAx>
      <c:valAx>
        <c:axId val="61567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6703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61131736"/>
        <c:axId val="13314713"/>
      </c:bar3DChart>
      <c:catAx>
        <c:axId val="61131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3314713"/>
        <c:crosses val="autoZero"/>
        <c:auto val="1"/>
        <c:lblOffset val="100"/>
        <c:tickLblSkip val="1"/>
        <c:noMultiLvlLbl val="0"/>
      </c:catAx>
      <c:valAx>
        <c:axId val="13314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1317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52723554"/>
        <c:axId val="4749939"/>
      </c:bar3DChart>
      <c:catAx>
        <c:axId val="5272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749939"/>
        <c:crosses val="autoZero"/>
        <c:auto val="1"/>
        <c:lblOffset val="100"/>
        <c:tickLblSkip val="1"/>
        <c:noMultiLvlLbl val="0"/>
      </c:catAx>
      <c:valAx>
        <c:axId val="4749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7235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42749452"/>
        <c:axId val="49200749"/>
      </c:bar3DChart>
      <c:catAx>
        <c:axId val="42749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9200749"/>
        <c:crosses val="autoZero"/>
        <c:auto val="1"/>
        <c:lblOffset val="100"/>
        <c:tickLblSkip val="1"/>
        <c:noMultiLvlLbl val="0"/>
      </c:catAx>
      <c:valAx>
        <c:axId val="492007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7494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40153558"/>
        <c:axId val="25837703"/>
      </c:bar3DChart>
      <c:catAx>
        <c:axId val="40153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5837703"/>
        <c:crosses val="autoZero"/>
        <c:auto val="1"/>
        <c:lblOffset val="100"/>
        <c:tickLblSkip val="1"/>
        <c:noMultiLvlLbl val="0"/>
      </c:catAx>
      <c:valAx>
        <c:axId val="258377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1535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31212736"/>
        <c:axId val="12479169"/>
      </c:bar3DChart>
      <c:catAx>
        <c:axId val="31212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2479169"/>
        <c:crosses val="autoZero"/>
        <c:auto val="1"/>
        <c:lblOffset val="100"/>
        <c:tickLblSkip val="1"/>
        <c:noMultiLvlLbl val="0"/>
      </c:catAx>
      <c:valAx>
        <c:axId val="12479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2127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45203658"/>
        <c:axId val="4179739"/>
      </c:lineChart>
      <c:catAx>
        <c:axId val="45203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179739"/>
        <c:crosses val="autoZero"/>
        <c:auto val="1"/>
        <c:lblOffset val="100"/>
        <c:tickLblSkip val="1"/>
        <c:noMultiLvlLbl val="0"/>
      </c:catAx>
      <c:valAx>
        <c:axId val="4179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0365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17240072"/>
        <c:axId val="20942921"/>
      </c:scatterChart>
      <c:valAx>
        <c:axId val="17240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942921"/>
        <c:crosses val="autoZero"/>
        <c:crossBetween val="midCat"/>
        <c:dispUnits/>
      </c:valAx>
      <c:valAx>
        <c:axId val="20942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724007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54268562"/>
        <c:axId val="18655011"/>
      </c:scatterChart>
      <c:valAx>
        <c:axId val="54268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8655011"/>
        <c:crosses val="autoZero"/>
        <c:crossBetween val="midCat"/>
        <c:dispUnits/>
      </c:valAx>
      <c:valAx>
        <c:axId val="186550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26856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33677372"/>
        <c:axId val="34660893"/>
      </c:scatterChart>
      <c:valAx>
        <c:axId val="33677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4660893"/>
        <c:crosses val="autoZero"/>
        <c:crossBetween val="midCat"/>
        <c:dispUnits/>
      </c:valAx>
      <c:valAx>
        <c:axId val="34660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67737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43512582"/>
        <c:axId val="56068919"/>
      </c:bar3DChart>
      <c:catAx>
        <c:axId val="43512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6068919"/>
        <c:crosses val="autoZero"/>
        <c:auto val="1"/>
        <c:lblOffset val="100"/>
        <c:tickLblSkip val="1"/>
        <c:noMultiLvlLbl val="0"/>
      </c:catAx>
      <c:valAx>
        <c:axId val="56068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9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5125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34858224"/>
        <c:axId val="45288561"/>
      </c:bar3DChart>
      <c:catAx>
        <c:axId val="34858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288561"/>
        <c:crosses val="autoZero"/>
        <c:auto val="1"/>
        <c:lblOffset val="100"/>
        <c:tickLblSkip val="1"/>
        <c:noMultiLvlLbl val="0"/>
      </c:catAx>
      <c:valAx>
        <c:axId val="45288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792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8582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4943866"/>
        <c:axId val="44494795"/>
      </c:bar3DChart>
      <c:catAx>
        <c:axId val="4943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494795"/>
        <c:crosses val="autoZero"/>
        <c:auto val="1"/>
        <c:lblOffset val="100"/>
        <c:tickLblSkip val="1"/>
        <c:noMultiLvlLbl val="0"/>
      </c:catAx>
      <c:valAx>
        <c:axId val="44494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438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64908836"/>
        <c:axId val="47308613"/>
      </c:bar3DChart>
      <c:catAx>
        <c:axId val="64908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7308613"/>
        <c:crosses val="autoZero"/>
        <c:auto val="1"/>
        <c:lblOffset val="100"/>
        <c:tickLblSkip val="1"/>
        <c:noMultiLvlLbl val="0"/>
      </c:catAx>
      <c:valAx>
        <c:axId val="473086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49088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23124334"/>
        <c:axId val="6792415"/>
      </c:bar3DChart>
      <c:catAx>
        <c:axId val="23124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792415"/>
        <c:crosses val="autoZero"/>
        <c:auto val="1"/>
        <c:lblOffset val="100"/>
        <c:tickLblSkip val="1"/>
        <c:noMultiLvlLbl val="0"/>
      </c:catAx>
      <c:valAx>
        <c:axId val="67924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1243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12.75">
      <c r="A1" s="215"/>
      <c r="B1" s="450">
        <f>'расчет показат'!E4</f>
        <v>2007</v>
      </c>
      <c r="C1" s="450">
        <f>'расчет показат'!F4</f>
        <v>2008</v>
      </c>
      <c r="D1" s="450">
        <f>'расчет показат'!G4</f>
        <v>2009</v>
      </c>
      <c r="E1" s="450">
        <f>'расчет показат'!H4</f>
        <v>2010</v>
      </c>
      <c r="F1" s="450">
        <f>'расчет показат'!I4</f>
        <v>2011</v>
      </c>
      <c r="G1" s="450">
        <f>'расчет показат'!J4</f>
        <v>2012</v>
      </c>
      <c r="H1" s="450">
        <f>'расчет показат'!K4</f>
        <v>2013</v>
      </c>
      <c r="I1" s="450">
        <f>'расчет показат'!L4</f>
        <v>2014</v>
      </c>
      <c r="J1" s="450">
        <f>'расчет показат'!M4</f>
        <v>2015</v>
      </c>
      <c r="K1" s="450">
        <f>'расчет показат'!N4</f>
        <v>2016</v>
      </c>
      <c r="L1" s="450">
        <f>'расчет показат'!O4</f>
        <v>2017</v>
      </c>
      <c r="M1" s="450">
        <f>'расчет показат'!P4</f>
        <v>2018</v>
      </c>
      <c r="N1" s="450">
        <f>'расчет показат'!Q4</f>
        <v>2019</v>
      </c>
    </row>
    <row r="2" spans="1:14" ht="41.25" customHeight="1">
      <c r="A2" s="217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1" t="e">
        <f>'ЗНАЧЕНИЕ ЦЕЛЕВЫХ ПОКАЗАТЕЛЕЙ'!#REF!</f>
        <v>#REF!</v>
      </c>
      <c r="C2" s="451" t="e">
        <f>'ЗНАЧЕНИЕ ЦЕЛЕВЫХ ПОКАЗАТЕЛЕЙ'!#REF!</f>
        <v>#REF!</v>
      </c>
      <c r="D2" s="451" t="e">
        <f>'ЗНАЧЕНИЕ ЦЕЛЕВЫХ ПОКАЗАТЕЛЕЙ'!#REF!</f>
        <v>#REF!</v>
      </c>
      <c r="E2" s="451" t="e">
        <f>'ЗНАЧЕНИЕ ЦЕЛЕВЫХ ПОКАЗАТЕЛЕЙ'!#REF!</f>
        <v>#REF!</v>
      </c>
      <c r="F2" s="451" t="e">
        <f>'ЗНАЧЕНИЕ ЦЕЛЕВЫХ ПОКАЗАТЕЛЕЙ'!#REF!</f>
        <v>#REF!</v>
      </c>
      <c r="G2" s="451" t="e">
        <f>'ЗНАЧЕНИЕ ЦЕЛЕВЫХ ПОКАЗАТЕЛЕЙ'!#REF!</f>
        <v>#REF!</v>
      </c>
      <c r="H2" s="451" t="e">
        <f>'ЗНАЧЕНИЕ ЦЕЛЕВЫХ ПОКАЗАТЕЛЕЙ'!#REF!</f>
        <v>#REF!</v>
      </c>
      <c r="I2" s="451" t="e">
        <f>'ЗНАЧЕНИЕ ЦЕЛЕВЫХ ПОКАЗАТЕЛЕЙ'!#REF!</f>
        <v>#REF!</v>
      </c>
      <c r="J2" s="451" t="e">
        <f>'ЗНАЧЕНИЕ ЦЕЛЕВЫХ ПОКАЗАТЕЛЕЙ'!#REF!</f>
        <v>#REF!</v>
      </c>
      <c r="K2" s="451" t="e">
        <f>'ЗНАЧЕНИЕ ЦЕЛЕВЫХ ПОКАЗАТЕЛЕЙ'!#REF!</f>
        <v>#REF!</v>
      </c>
      <c r="L2" s="451" t="e">
        <f>'ЗНАЧЕНИЕ ЦЕЛЕВЫХ ПОКАЗАТЕЛЕЙ'!#REF!</f>
        <v>#REF!</v>
      </c>
      <c r="M2" s="451" t="e">
        <f>'ЗНАЧЕНИЕ ЦЕЛЕВЫХ ПОКАЗАТЕЛЕЙ'!#REF!</f>
        <v>#REF!</v>
      </c>
      <c r="N2" s="451" t="e">
        <f>'ЗНАЧЕНИЕ ЦЕЛЕВЫХ ПОКАЗАТЕЛЕЙ'!#REF!</f>
        <v>#REF!</v>
      </c>
    </row>
    <row r="3" spans="1:14" ht="26.25" customHeight="1">
      <c r="A3" s="217" t="str">
        <f>'расчет показат'!B118</f>
        <v>Динамика изменения фактического объема потерь ТЭ при ее передаче</v>
      </c>
      <c r="B3" s="451" t="e">
        <f>'ЗНАЧЕНИЕ ЦЕЛЕВЫХ ПОКАЗАТЕЛЕЙ'!#REF!</f>
        <v>#REF!</v>
      </c>
      <c r="C3" s="451" t="e">
        <f>'ЗНАЧЕНИЕ ЦЕЛЕВЫХ ПОКАЗАТЕЛЕЙ'!#REF!</f>
        <v>#REF!</v>
      </c>
      <c r="D3" s="451" t="e">
        <f>'ЗНАЧЕНИЕ ЦЕЛЕВЫХ ПОКАЗАТЕЛЕЙ'!#REF!</f>
        <v>#REF!</v>
      </c>
      <c r="E3" s="451" t="e">
        <f>'ЗНАЧЕНИЕ ЦЕЛЕВЫХ ПОКАЗАТЕЛЕЙ'!#REF!</f>
        <v>#REF!</v>
      </c>
      <c r="F3" s="451" t="e">
        <f>'ЗНАЧЕНИЕ ЦЕЛЕВЫХ ПОКАЗАТЕЛЕЙ'!#REF!</f>
        <v>#REF!</v>
      </c>
      <c r="G3" s="451" t="e">
        <f>'ЗНАЧЕНИЕ ЦЕЛЕВЫХ ПОКАЗАТЕЛЕЙ'!#REF!</f>
        <v>#REF!</v>
      </c>
      <c r="H3" s="451" t="e">
        <f>'ЗНАЧЕНИЕ ЦЕЛЕВЫХ ПОКАЗАТЕЛЕЙ'!#REF!</f>
        <v>#REF!</v>
      </c>
      <c r="I3" s="451" t="e">
        <f>'ЗНАЧЕНИЕ ЦЕЛЕВЫХ ПОКАЗАТЕЛЕЙ'!#REF!</f>
        <v>#REF!</v>
      </c>
      <c r="J3" s="451" t="e">
        <f>'ЗНАЧЕНИЕ ЦЕЛЕВЫХ ПОКАЗАТЕЛЕЙ'!#REF!</f>
        <v>#REF!</v>
      </c>
      <c r="K3" s="451" t="e">
        <f>'ЗНАЧЕНИЕ ЦЕЛЕВЫХ ПОКАЗАТЕЛЕЙ'!#REF!</f>
        <v>#REF!</v>
      </c>
      <c r="L3" s="451" t="e">
        <f>'ЗНАЧЕНИЕ ЦЕЛЕВЫХ ПОКАЗАТЕЛЕЙ'!#REF!</f>
        <v>#REF!</v>
      </c>
      <c r="M3" s="451" t="e">
        <f>'ЗНАЧЕНИЕ ЦЕЛЕВЫХ ПОКАЗАТЕЛЕЙ'!#REF!</f>
        <v>#REF!</v>
      </c>
      <c r="N3" s="451" t="e">
        <f>'ЗНАЧЕНИЕ ЦЕЛЕВЫХ ПОКАЗАТЕЛЕЙ'!#REF!</f>
        <v>#REF!</v>
      </c>
    </row>
    <row r="4" spans="1:14" ht="25.5">
      <c r="A4" s="217" t="str">
        <f>'расчет показат'!B119</f>
        <v>Динамика изменения фактического объема потерь воды при ее передаче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51" t="e">
        <f>'ЗНАЧЕНИЕ ЦЕЛЕВЫХ ПОКАЗАТЕЛЕЙ'!#REF!</f>
        <v>#REF!</v>
      </c>
      <c r="F4" s="451" t="e">
        <f>'ЗНАЧЕНИЕ ЦЕЛЕВЫХ ПОКАЗАТЕЛЕЙ'!#REF!</f>
        <v>#REF!</v>
      </c>
      <c r="G4" s="451" t="e">
        <f>'ЗНАЧЕНИЕ ЦЕЛЕВЫХ ПОКАЗАТЕЛЕЙ'!#REF!</f>
        <v>#REF!</v>
      </c>
      <c r="H4" s="451" t="e">
        <f>'ЗНАЧЕНИЕ ЦЕЛЕВЫХ ПОКАЗАТЕЛЕЙ'!#REF!</f>
        <v>#REF!</v>
      </c>
      <c r="I4" s="451" t="e">
        <f>'ЗНАЧЕНИЕ ЦЕЛЕВЫХ ПОКАЗАТЕЛЕЙ'!#REF!</f>
        <v>#REF!</v>
      </c>
      <c r="J4" s="451" t="e">
        <f>'ЗНАЧЕНИЕ ЦЕЛЕВЫХ ПОКАЗАТЕЛЕЙ'!#REF!</f>
        <v>#REF!</v>
      </c>
      <c r="K4" s="451" t="e">
        <f>'ЗНАЧЕНИЕ ЦЕЛЕВЫХ ПОКАЗАТЕЛЕЙ'!#REF!</f>
        <v>#REF!</v>
      </c>
      <c r="L4" s="451" t="e">
        <f>'ЗНАЧЕНИЕ ЦЕЛЕВЫХ ПОКАЗАТЕЛЕЙ'!#REF!</f>
        <v>#REF!</v>
      </c>
      <c r="M4" s="451" t="e">
        <f>'ЗНАЧЕНИЕ ЦЕЛЕВЫХ ПОКАЗАТЕЛЕЙ'!#REF!</f>
        <v>#REF!</v>
      </c>
      <c r="N4" s="451" t="e">
        <f>'ЗНАЧЕНИЕ ЦЕЛЕВЫХ ПОКАЗАТЕЛЕЙ'!#REF!</f>
        <v>#REF!</v>
      </c>
    </row>
    <row r="5" spans="1:14" ht="37.5" customHeight="1">
      <c r="A5" s="217" t="str">
        <f>'расчет показат'!B120</f>
        <v>Динамика изменения объемов ЭЭ, используемой при передаче (транспортировке) воды</v>
      </c>
      <c r="B5" s="451" t="e">
        <f>'ЗНАЧЕНИЕ ЦЕЛЕВЫХ ПОКАЗАТЕЛЕЙ'!#REF!</f>
        <v>#REF!</v>
      </c>
      <c r="C5" s="451" t="e">
        <f>'ЗНАЧЕНИЕ ЦЕЛЕВЫХ ПОКАЗАТЕЛЕЙ'!#REF!</f>
        <v>#REF!</v>
      </c>
      <c r="D5" s="451" t="e">
        <f>'ЗНАЧЕНИЕ ЦЕЛЕВЫХ ПОКАЗАТЕЛЕЙ'!#REF!</f>
        <v>#REF!</v>
      </c>
      <c r="E5" s="451" t="e">
        <f>'ЗНАЧЕНИЕ ЦЕЛЕВЫХ ПОКАЗАТЕЛЕЙ'!#REF!</f>
        <v>#REF!</v>
      </c>
      <c r="F5" s="451" t="e">
        <f>'ЗНАЧЕНИЕ ЦЕЛЕВЫХ ПОКАЗАТЕЛЕЙ'!#REF!</f>
        <v>#REF!</v>
      </c>
      <c r="G5" s="451" t="e">
        <f>'ЗНАЧЕНИЕ ЦЕЛЕВЫХ ПОКАЗАТЕЛЕЙ'!#REF!</f>
        <v>#REF!</v>
      </c>
      <c r="H5" s="451" t="e">
        <f>'ЗНАЧЕНИЕ ЦЕЛЕВЫХ ПОКАЗАТЕЛЕЙ'!#REF!</f>
        <v>#REF!</v>
      </c>
      <c r="I5" s="451" t="e">
        <f>'ЗНАЧЕНИЕ ЦЕЛЕВЫХ ПОКАЗАТЕЛЕЙ'!#REF!</f>
        <v>#REF!</v>
      </c>
      <c r="J5" s="451" t="e">
        <f>'ЗНАЧЕНИЕ ЦЕЛЕВЫХ ПОКАЗАТЕЛЕЙ'!#REF!</f>
        <v>#REF!</v>
      </c>
      <c r="K5" s="451" t="e">
        <f>'ЗНАЧЕНИЕ ЦЕЛЕВЫХ ПОКАЗАТЕЛЕЙ'!#REF!</f>
        <v>#REF!</v>
      </c>
      <c r="L5" s="451" t="e">
        <f>'ЗНАЧЕНИЕ ЦЕЛЕВЫХ ПОКАЗАТЕЛЕЙ'!#REF!</f>
        <v>#REF!</v>
      </c>
      <c r="M5" s="451" t="e">
        <f>'ЗНАЧЕНИЕ ЦЕЛЕВЫХ ПОКАЗАТЕЛЕЙ'!#REF!</f>
        <v>#REF!</v>
      </c>
      <c r="N5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6" customWidth="1"/>
    <col min="2" max="2" width="10.421875" style="216" customWidth="1"/>
    <col min="3" max="3" width="15.140625" style="216" customWidth="1"/>
    <col min="4" max="5" width="9.140625" style="216" customWidth="1"/>
    <col min="6" max="6" width="12.28125" style="216" customWidth="1"/>
    <col min="7" max="8" width="9.140625" style="216" customWidth="1"/>
    <col min="9" max="9" width="17.57421875" style="216" customWidth="1"/>
    <col min="10" max="12" width="9.140625" style="216" customWidth="1"/>
    <col min="13" max="13" width="12.00390625" style="216" customWidth="1"/>
    <col min="14" max="16" width="9.140625" style="216" customWidth="1"/>
    <col min="17" max="17" width="19.8515625" style="216" customWidth="1"/>
    <col min="18" max="27" width="9.140625" style="216" customWidth="1"/>
    <col min="28" max="28" width="9.7109375" style="216" customWidth="1"/>
    <col min="29" max="16384" width="9.140625" style="216" customWidth="1"/>
  </cols>
  <sheetData>
    <row r="1" spans="1:30" ht="45.75" customHeight="1" thickBot="1">
      <c r="A1" s="769" t="s">
        <v>402</v>
      </c>
      <c r="B1" s="772" t="s">
        <v>275</v>
      </c>
      <c r="C1" s="773"/>
      <c r="D1" s="773"/>
      <c r="E1" s="773"/>
      <c r="F1" s="774"/>
      <c r="H1" s="442"/>
      <c r="I1" s="744" t="s">
        <v>402</v>
      </c>
      <c r="J1" s="760" t="s">
        <v>276</v>
      </c>
      <c r="K1" s="744"/>
      <c r="L1" s="744"/>
      <c r="M1" s="744"/>
      <c r="N1" s="745"/>
      <c r="Q1" s="741" t="s">
        <v>402</v>
      </c>
      <c r="R1" s="744" t="s">
        <v>277</v>
      </c>
      <c r="S1" s="744"/>
      <c r="T1" s="744"/>
      <c r="U1" s="744"/>
      <c r="V1" s="745"/>
      <c r="Y1" s="396" t="s">
        <v>402</v>
      </c>
      <c r="Z1" s="397" t="s">
        <v>439</v>
      </c>
      <c r="AA1" s="397"/>
      <c r="AB1" s="397"/>
      <c r="AC1" s="397"/>
      <c r="AD1" s="398"/>
    </row>
    <row r="2" spans="1:30" ht="75.75" customHeight="1" thickBot="1">
      <c r="A2" s="770"/>
      <c r="B2" s="775" t="s">
        <v>403</v>
      </c>
      <c r="C2" s="777" t="s">
        <v>404</v>
      </c>
      <c r="D2" s="778"/>
      <c r="E2" s="777" t="s">
        <v>405</v>
      </c>
      <c r="F2" s="778"/>
      <c r="H2" s="443"/>
      <c r="I2" s="765"/>
      <c r="J2" s="763" t="s">
        <v>403</v>
      </c>
      <c r="K2" s="761" t="s">
        <v>404</v>
      </c>
      <c r="L2" s="762"/>
      <c r="M2" s="767" t="s">
        <v>405</v>
      </c>
      <c r="N2" s="768"/>
      <c r="Q2" s="742"/>
      <c r="R2" s="746" t="s">
        <v>403</v>
      </c>
      <c r="S2" s="748" t="s">
        <v>404</v>
      </c>
      <c r="T2" s="749"/>
      <c r="U2" s="748" t="s">
        <v>405</v>
      </c>
      <c r="V2" s="749"/>
      <c r="Y2" s="399"/>
      <c r="Z2" s="214" t="s">
        <v>403</v>
      </c>
      <c r="AA2" s="214" t="s">
        <v>404</v>
      </c>
      <c r="AB2" s="214"/>
      <c r="AC2" s="214" t="s">
        <v>405</v>
      </c>
      <c r="AD2" s="400"/>
    </row>
    <row r="3" spans="1:30" ht="30.75" thickBot="1">
      <c r="A3" s="771"/>
      <c r="B3" s="776"/>
      <c r="C3" s="430" t="s">
        <v>486</v>
      </c>
      <c r="D3" s="430" t="s">
        <v>14</v>
      </c>
      <c r="E3" s="430" t="s">
        <v>406</v>
      </c>
      <c r="F3" s="430" t="s">
        <v>407</v>
      </c>
      <c r="H3" s="444">
        <v>2007</v>
      </c>
      <c r="I3" s="766"/>
      <c r="J3" s="764"/>
      <c r="K3" s="440" t="s">
        <v>486</v>
      </c>
      <c r="L3" s="441" t="s">
        <v>14</v>
      </c>
      <c r="M3" s="440" t="s">
        <v>406</v>
      </c>
      <c r="N3" s="441" t="s">
        <v>407</v>
      </c>
      <c r="Q3" s="743"/>
      <c r="R3" s="747"/>
      <c r="S3" s="434" t="s">
        <v>486</v>
      </c>
      <c r="T3" s="434" t="s">
        <v>14</v>
      </c>
      <c r="U3" s="446" t="s">
        <v>406</v>
      </c>
      <c r="V3" s="434" t="s">
        <v>407</v>
      </c>
      <c r="Y3" s="399"/>
      <c r="Z3" s="214"/>
      <c r="AA3" s="214" t="s">
        <v>486</v>
      </c>
      <c r="AB3" s="214" t="s">
        <v>14</v>
      </c>
      <c r="AC3" s="214" t="s">
        <v>406</v>
      </c>
      <c r="AD3" s="400" t="s">
        <v>407</v>
      </c>
    </row>
    <row r="4" spans="1:30" ht="51">
      <c r="A4" s="757" t="s">
        <v>408</v>
      </c>
      <c r="B4" s="403" t="e">
        <f>#REF!</f>
        <v>#REF!</v>
      </c>
      <c r="C4" s="404" t="e">
        <f>B4*0.123</f>
        <v>#REF!</v>
      </c>
      <c r="D4" s="403" t="e">
        <f>C4/C17*100</f>
        <v>#REF!</v>
      </c>
      <c r="E4" s="403"/>
      <c r="F4" s="403"/>
      <c r="H4" s="435"/>
      <c r="I4" s="432" t="s">
        <v>408</v>
      </c>
      <c r="J4" s="435" t="e">
        <f>#REF!</f>
        <v>#REF!</v>
      </c>
      <c r="K4" s="432" t="e">
        <f>J4*0.123</f>
        <v>#REF!</v>
      </c>
      <c r="L4" s="435" t="e">
        <f>K4/K17*100</f>
        <v>#REF!</v>
      </c>
      <c r="M4" s="432"/>
      <c r="N4" s="435"/>
      <c r="Q4" s="435" t="s">
        <v>408</v>
      </c>
      <c r="R4" s="432" t="e">
        <f>#REF!</f>
        <v>#REF!</v>
      </c>
      <c r="S4" s="435" t="e">
        <f>R4*0.123</f>
        <v>#REF!</v>
      </c>
      <c r="T4" s="435" t="e">
        <f>S4/S17*100</f>
        <v>#REF!</v>
      </c>
      <c r="U4" s="432"/>
      <c r="V4" s="435"/>
      <c r="Y4" s="399" t="s">
        <v>408</v>
      </c>
      <c r="Z4" s="218" t="e">
        <f>#REF!</f>
        <v>#REF!</v>
      </c>
      <c r="AA4" s="214" t="e">
        <f>Z4*0.123</f>
        <v>#REF!</v>
      </c>
      <c r="AB4" s="214" t="e">
        <f>AA4/AA17*100</f>
        <v>#REF!</v>
      </c>
      <c r="AC4" s="214"/>
      <c r="AD4" s="400"/>
    </row>
    <row r="5" spans="1:30" ht="15">
      <c r="A5" s="758"/>
      <c r="B5" s="403"/>
      <c r="C5" s="405"/>
      <c r="D5" s="403"/>
      <c r="E5" s="403"/>
      <c r="F5" s="403"/>
      <c r="H5" s="436"/>
      <c r="I5" s="431" t="s">
        <v>420</v>
      </c>
      <c r="J5" s="436"/>
      <c r="K5" s="431"/>
      <c r="L5" s="436"/>
      <c r="M5" s="431"/>
      <c r="N5" s="436"/>
      <c r="Q5" s="436"/>
      <c r="R5" s="431"/>
      <c r="S5" s="436"/>
      <c r="T5" s="436"/>
      <c r="U5" s="431"/>
      <c r="V5" s="436"/>
      <c r="Y5" s="399"/>
      <c r="Z5" s="214"/>
      <c r="AA5" s="214"/>
      <c r="AB5" s="214"/>
      <c r="AC5" s="214"/>
      <c r="AD5" s="400"/>
    </row>
    <row r="6" spans="1:30" ht="15">
      <c r="A6" s="758"/>
      <c r="B6" s="406"/>
      <c r="C6" s="406"/>
      <c r="D6" s="403"/>
      <c r="E6" s="406"/>
      <c r="F6" s="406"/>
      <c r="H6" s="436"/>
      <c r="I6" s="431"/>
      <c r="J6" s="436"/>
      <c r="K6" s="431"/>
      <c r="L6" s="436"/>
      <c r="M6" s="431"/>
      <c r="N6" s="436"/>
      <c r="Q6" s="436" t="s">
        <v>420</v>
      </c>
      <c r="R6" s="431"/>
      <c r="S6" s="436"/>
      <c r="T6" s="436"/>
      <c r="U6" s="431"/>
      <c r="V6" s="436"/>
      <c r="Y6" s="399" t="s">
        <v>420</v>
      </c>
      <c r="Z6" s="214"/>
      <c r="AA6" s="214"/>
      <c r="AB6" s="214"/>
      <c r="AC6" s="214"/>
      <c r="AD6" s="400"/>
    </row>
    <row r="7" spans="1:30" ht="15.75" thickBot="1">
      <c r="A7" s="759"/>
      <c r="B7" s="408"/>
      <c r="C7" s="408"/>
      <c r="D7" s="401"/>
      <c r="E7" s="408"/>
      <c r="F7" s="408"/>
      <c r="H7" s="436"/>
      <c r="I7" s="431"/>
      <c r="J7" s="436"/>
      <c r="K7" s="431"/>
      <c r="L7" s="436"/>
      <c r="M7" s="431"/>
      <c r="N7" s="436"/>
      <c r="Q7" s="436"/>
      <c r="R7" s="431"/>
      <c r="S7" s="436"/>
      <c r="T7" s="436"/>
      <c r="U7" s="431"/>
      <c r="V7" s="436"/>
      <c r="Y7" s="399"/>
      <c r="Z7" s="214"/>
      <c r="AA7" s="214"/>
      <c r="AB7" s="214"/>
      <c r="AC7" s="214"/>
      <c r="AD7" s="400"/>
    </row>
    <row r="8" spans="1:30" ht="15">
      <c r="A8" s="409" t="s">
        <v>409</v>
      </c>
      <c r="B8" s="750" t="e">
        <f>#REF!/1000</f>
        <v>#REF!</v>
      </c>
      <c r="C8" s="752" t="e">
        <f>B8*1.137*1000</f>
        <v>#REF!</v>
      </c>
      <c r="D8" s="410" t="e">
        <f>C8/C17*100</f>
        <v>#REF!</v>
      </c>
      <c r="E8" s="750"/>
      <c r="F8" s="750"/>
      <c r="H8" s="435"/>
      <c r="I8" s="432" t="s">
        <v>409</v>
      </c>
      <c r="J8" s="435" t="e">
        <f>#REF!/1000</f>
        <v>#REF!</v>
      </c>
      <c r="K8" s="432" t="e">
        <f>J8*1.137*1000</f>
        <v>#REF!</v>
      </c>
      <c r="L8" s="435" t="e">
        <f>K8/K17*100</f>
        <v>#REF!</v>
      </c>
      <c r="M8" s="432"/>
      <c r="N8" s="435"/>
      <c r="Q8" s="435" t="s">
        <v>409</v>
      </c>
      <c r="R8" s="432" t="e">
        <f>#REF!/1000</f>
        <v>#REF!</v>
      </c>
      <c r="S8" s="435" t="e">
        <f>R8*1.137*1000</f>
        <v>#REF!</v>
      </c>
      <c r="T8" s="435" t="e">
        <f>S8/S17*100</f>
        <v>#REF!</v>
      </c>
      <c r="U8" s="432"/>
      <c r="V8" s="435"/>
      <c r="Y8" s="399" t="s">
        <v>409</v>
      </c>
      <c r="Z8" s="218" t="e">
        <f>#REF!/1000</f>
        <v>#REF!</v>
      </c>
      <c r="AA8" s="214" t="e">
        <f>Z8*1.137*1000</f>
        <v>#REF!</v>
      </c>
      <c r="AB8" s="214" t="e">
        <f>AA8/AA17*100</f>
        <v>#REF!</v>
      </c>
      <c r="AC8" s="214"/>
      <c r="AD8" s="400"/>
    </row>
    <row r="9" spans="1:30" ht="15.75" thickBot="1">
      <c r="A9" s="411" t="s">
        <v>410</v>
      </c>
      <c r="B9" s="751"/>
      <c r="C9" s="753"/>
      <c r="D9" s="411"/>
      <c r="E9" s="751"/>
      <c r="F9" s="751"/>
      <c r="H9" s="437"/>
      <c r="I9" s="433" t="s">
        <v>410</v>
      </c>
      <c r="J9" s="437"/>
      <c r="K9" s="433"/>
      <c r="L9" s="437"/>
      <c r="M9" s="433"/>
      <c r="N9" s="437"/>
      <c r="Q9" s="437" t="s">
        <v>410</v>
      </c>
      <c r="R9" s="433"/>
      <c r="S9" s="437"/>
      <c r="T9" s="437"/>
      <c r="U9" s="433"/>
      <c r="V9" s="437"/>
      <c r="Y9" s="399" t="s">
        <v>410</v>
      </c>
      <c r="Z9" s="214"/>
      <c r="AA9" s="214"/>
      <c r="AB9" s="214"/>
      <c r="AC9" s="214"/>
      <c r="AD9" s="400"/>
    </row>
    <row r="10" spans="1:30" ht="15">
      <c r="A10" s="409" t="s">
        <v>411</v>
      </c>
      <c r="B10" s="750">
        <v>0</v>
      </c>
      <c r="C10" s="754">
        <f>B10*1570</f>
        <v>0</v>
      </c>
      <c r="D10" s="750" t="e">
        <f>C10/C17*100</f>
        <v>#REF!</v>
      </c>
      <c r="E10" s="750"/>
      <c r="F10" s="750"/>
      <c r="H10" s="435"/>
      <c r="I10" s="432" t="s">
        <v>411</v>
      </c>
      <c r="J10" s="435">
        <v>0</v>
      </c>
      <c r="K10" s="432">
        <f>J10*1570</f>
        <v>0</v>
      </c>
      <c r="L10" s="435" t="e">
        <f>K10/K17*100</f>
        <v>#REF!</v>
      </c>
      <c r="M10" s="432"/>
      <c r="N10" s="435"/>
      <c r="Q10" s="435" t="s">
        <v>411</v>
      </c>
      <c r="R10" s="432">
        <v>0</v>
      </c>
      <c r="S10" s="435">
        <f>R10*1570</f>
        <v>0</v>
      </c>
      <c r="T10" s="435" t="e">
        <f>S10/S17*100</f>
        <v>#REF!</v>
      </c>
      <c r="U10" s="432"/>
      <c r="V10" s="435"/>
      <c r="Y10" s="399" t="s">
        <v>411</v>
      </c>
      <c r="Z10" s="214">
        <v>0</v>
      </c>
      <c r="AA10" s="214">
        <f>Z10*1570</f>
        <v>0</v>
      </c>
      <c r="AB10" s="214" t="e">
        <f>AA10/AA17*100</f>
        <v>#REF!</v>
      </c>
      <c r="AC10" s="214"/>
      <c r="AD10" s="400"/>
    </row>
    <row r="11" spans="1:30" ht="15.75" thickBot="1">
      <c r="A11" s="411" t="s">
        <v>412</v>
      </c>
      <c r="B11" s="751"/>
      <c r="C11" s="755"/>
      <c r="D11" s="751"/>
      <c r="E11" s="751"/>
      <c r="F11" s="751"/>
      <c r="H11" s="437"/>
      <c r="I11" s="433" t="s">
        <v>412</v>
      </c>
      <c r="J11" s="437"/>
      <c r="K11" s="433"/>
      <c r="L11" s="437"/>
      <c r="M11" s="433"/>
      <c r="N11" s="437"/>
      <c r="Q11" s="437" t="s">
        <v>412</v>
      </c>
      <c r="R11" s="433"/>
      <c r="S11" s="437"/>
      <c r="T11" s="437"/>
      <c r="U11" s="433"/>
      <c r="V11" s="437"/>
      <c r="Y11" s="399" t="s">
        <v>412</v>
      </c>
      <c r="Z11" s="214"/>
      <c r="AA11" s="214"/>
      <c r="AB11" s="214"/>
      <c r="AC11" s="214"/>
      <c r="AD11" s="400"/>
    </row>
    <row r="12" spans="1:30" ht="30.75" thickBot="1">
      <c r="A12" s="411" t="s">
        <v>413</v>
      </c>
      <c r="B12" s="402">
        <v>0</v>
      </c>
      <c r="C12" s="412">
        <f>B12*1.37</f>
        <v>0</v>
      </c>
      <c r="D12" s="401" t="e">
        <f>C12/C17*100</f>
        <v>#REF!</v>
      </c>
      <c r="E12" s="401"/>
      <c r="F12" s="401"/>
      <c r="H12" s="439"/>
      <c r="I12" s="438" t="s">
        <v>413</v>
      </c>
      <c r="J12" s="439">
        <v>0</v>
      </c>
      <c r="K12" s="438">
        <f>J12*1.37</f>
        <v>0</v>
      </c>
      <c r="L12" s="439" t="e">
        <f>K12/K17*100</f>
        <v>#REF!</v>
      </c>
      <c r="M12" s="438"/>
      <c r="N12" s="439"/>
      <c r="Q12" s="439" t="s">
        <v>413</v>
      </c>
      <c r="R12" s="438">
        <v>0</v>
      </c>
      <c r="S12" s="439">
        <f>R12*1.37</f>
        <v>0</v>
      </c>
      <c r="T12" s="439" t="e">
        <f>S12/S17*100</f>
        <v>#REF!</v>
      </c>
      <c r="U12" s="438"/>
      <c r="V12" s="439"/>
      <c r="Y12" s="399" t="s">
        <v>413</v>
      </c>
      <c r="Z12" s="214">
        <v>0</v>
      </c>
      <c r="AA12" s="214">
        <f>Z12*1.37</f>
        <v>0</v>
      </c>
      <c r="AB12" s="214" t="e">
        <f>AA12/AA17*100</f>
        <v>#REF!</v>
      </c>
      <c r="AC12" s="214"/>
      <c r="AD12" s="400"/>
    </row>
    <row r="13" spans="1:30" ht="30.75" thickBot="1">
      <c r="A13" s="411" t="s">
        <v>414</v>
      </c>
      <c r="B13" s="402">
        <v>0.12</v>
      </c>
      <c r="C13" s="413">
        <f>B13*768</f>
        <v>92.16</v>
      </c>
      <c r="D13" s="401" t="e">
        <f>C13/C17*100</f>
        <v>#REF!</v>
      </c>
      <c r="E13" s="401"/>
      <c r="F13" s="401"/>
      <c r="H13" s="439"/>
      <c r="I13" s="438" t="s">
        <v>414</v>
      </c>
      <c r="J13" s="439">
        <v>0.14</v>
      </c>
      <c r="K13" s="438">
        <f>J13*768</f>
        <v>107.52000000000001</v>
      </c>
      <c r="L13" s="439" t="e">
        <f>K13/K17*100</f>
        <v>#REF!</v>
      </c>
      <c r="M13" s="438"/>
      <c r="N13" s="439"/>
      <c r="Q13" s="439" t="s">
        <v>414</v>
      </c>
      <c r="R13" s="445">
        <v>0.11</v>
      </c>
      <c r="S13" s="439">
        <f>R13*768</f>
        <v>84.48</v>
      </c>
      <c r="T13" s="439" t="e">
        <f>S13/S17*100</f>
        <v>#REF!</v>
      </c>
      <c r="U13" s="438"/>
      <c r="V13" s="439"/>
      <c r="Y13" s="399" t="s">
        <v>414</v>
      </c>
      <c r="Z13" s="214">
        <v>0</v>
      </c>
      <c r="AA13" s="214">
        <f>Z13*768</f>
        <v>0</v>
      </c>
      <c r="AB13" s="214" t="e">
        <f>AA13/AA17*100</f>
        <v>#REF!</v>
      </c>
      <c r="AC13" s="214"/>
      <c r="AD13" s="400"/>
    </row>
    <row r="14" spans="1:30" ht="30">
      <c r="A14" s="409" t="s">
        <v>415</v>
      </c>
      <c r="B14" s="415" t="e">
        <f>0.7*(#REF!+#REF!)/1000</f>
        <v>#REF!</v>
      </c>
      <c r="C14" s="410" t="e">
        <f>B14*266</f>
        <v>#REF!</v>
      </c>
      <c r="D14" s="410" t="e">
        <f>C14/C17*100</f>
        <v>#REF!</v>
      </c>
      <c r="E14" s="750"/>
      <c r="F14" s="750"/>
      <c r="H14" s="435"/>
      <c r="I14" s="432" t="s">
        <v>415</v>
      </c>
      <c r="J14" s="435" t="e">
        <f>0.7*(#REF!+#REF!)/1000</f>
        <v>#REF!</v>
      </c>
      <c r="K14" s="432" t="e">
        <f>J14*266</f>
        <v>#REF!</v>
      </c>
      <c r="L14" s="435" t="e">
        <f>K14/K17*100</f>
        <v>#REF!</v>
      </c>
      <c r="M14" s="432"/>
      <c r="N14" s="435"/>
      <c r="Q14" s="435" t="s">
        <v>415</v>
      </c>
      <c r="R14" s="432" t="e">
        <f>0.7*(#REF!+#REF!)/1000</f>
        <v>#REF!</v>
      </c>
      <c r="S14" s="435" t="e">
        <f>R14*266</f>
        <v>#REF!</v>
      </c>
      <c r="T14" s="435" t="e">
        <f>S14/S17*100</f>
        <v>#REF!</v>
      </c>
      <c r="U14" s="432"/>
      <c r="V14" s="435"/>
      <c r="Y14" s="399" t="s">
        <v>415</v>
      </c>
      <c r="Z14" s="214">
        <v>0</v>
      </c>
      <c r="AA14" s="214">
        <f>Z14*266</f>
        <v>0</v>
      </c>
      <c r="AB14" s="214" t="e">
        <f>AA14/AA17*100</f>
        <v>#REF!</v>
      </c>
      <c r="AC14" s="214"/>
      <c r="AD14" s="400"/>
    </row>
    <row r="15" spans="1:30" ht="15.75" thickBot="1">
      <c r="A15" s="411" t="s">
        <v>416</v>
      </c>
      <c r="B15" s="416"/>
      <c r="C15" s="411"/>
      <c r="D15" s="411"/>
      <c r="E15" s="751"/>
      <c r="F15" s="751"/>
      <c r="H15" s="437"/>
      <c r="I15" s="433" t="s">
        <v>416</v>
      </c>
      <c r="J15" s="437"/>
      <c r="K15" s="433"/>
      <c r="L15" s="437"/>
      <c r="M15" s="433"/>
      <c r="N15" s="437"/>
      <c r="Q15" s="437" t="s">
        <v>416</v>
      </c>
      <c r="R15" s="433"/>
      <c r="S15" s="437"/>
      <c r="T15" s="437"/>
      <c r="U15" s="433"/>
      <c r="V15" s="437"/>
      <c r="Y15" s="399" t="s">
        <v>416</v>
      </c>
      <c r="Z15" s="214"/>
      <c r="AA15" s="214"/>
      <c r="AB15" s="214"/>
      <c r="AC15" s="214"/>
      <c r="AD15" s="400"/>
    </row>
    <row r="16" spans="1:30" ht="45.75" thickBot="1">
      <c r="A16" s="407" t="s">
        <v>417</v>
      </c>
      <c r="B16" s="402">
        <v>0</v>
      </c>
      <c r="C16" s="417">
        <f>B16*600</f>
        <v>0</v>
      </c>
      <c r="D16" s="401" t="e">
        <f>C16/C17*100</f>
        <v>#REF!</v>
      </c>
      <c r="E16" s="401"/>
      <c r="F16" s="401"/>
      <c r="H16" s="439"/>
      <c r="I16" s="438" t="s">
        <v>417</v>
      </c>
      <c r="J16" s="439">
        <v>0</v>
      </c>
      <c r="K16" s="438">
        <f>J16*600</f>
        <v>0</v>
      </c>
      <c r="L16" s="439" t="e">
        <f>K16/K17*100</f>
        <v>#REF!</v>
      </c>
      <c r="M16" s="438"/>
      <c r="N16" s="439"/>
      <c r="Q16" s="439" t="s">
        <v>417</v>
      </c>
      <c r="R16" s="438">
        <v>0</v>
      </c>
      <c r="S16" s="439">
        <f>R16*600</f>
        <v>0</v>
      </c>
      <c r="T16" s="439" t="e">
        <f>S16/S17*100</f>
        <v>#REF!</v>
      </c>
      <c r="U16" s="438"/>
      <c r="V16" s="439"/>
      <c r="Y16" s="399" t="s">
        <v>417</v>
      </c>
      <c r="Z16" s="214">
        <v>0</v>
      </c>
      <c r="AA16" s="214">
        <f>Z16*600</f>
        <v>0</v>
      </c>
      <c r="AB16" s="214" t="e">
        <f>AA16/AA17*100</f>
        <v>#REF!</v>
      </c>
      <c r="AC16" s="214"/>
      <c r="AD16" s="400"/>
    </row>
    <row r="17" spans="1:30" ht="15.75" thickBot="1">
      <c r="A17" s="418" t="s">
        <v>418</v>
      </c>
      <c r="B17" s="401" t="s">
        <v>102</v>
      </c>
      <c r="C17" s="419" t="e">
        <f>C4+C8+C10+C12+C13+C14+C16+D20+D21+D22</f>
        <v>#REF!</v>
      </c>
      <c r="D17" s="401">
        <v>100</v>
      </c>
      <c r="E17" s="401"/>
      <c r="F17" s="401">
        <v>100</v>
      </c>
      <c r="H17" s="439"/>
      <c r="I17" s="438" t="s">
        <v>418</v>
      </c>
      <c r="J17" s="439" t="s">
        <v>102</v>
      </c>
      <c r="K17" s="438" t="e">
        <f>K4+K8+K10+K12+K13+K14+K16+L20+L21+L22</f>
        <v>#REF!</v>
      </c>
      <c r="L17" s="439">
        <v>100</v>
      </c>
      <c r="M17" s="438"/>
      <c r="N17" s="439">
        <v>100</v>
      </c>
      <c r="Q17" s="437" t="s">
        <v>418</v>
      </c>
      <c r="R17" s="433" t="s">
        <v>102</v>
      </c>
      <c r="S17" s="437" t="e">
        <f>S4+S8+S10+S12+S13+S14+S16+T22+T23+T24</f>
        <v>#REF!</v>
      </c>
      <c r="T17" s="437">
        <v>100</v>
      </c>
      <c r="U17" s="433"/>
      <c r="V17" s="437">
        <v>100</v>
      </c>
      <c r="Y17" s="420" t="s">
        <v>418</v>
      </c>
      <c r="Z17" s="421" t="s">
        <v>102</v>
      </c>
      <c r="AA17" s="421" t="e">
        <f>AA4+AA8+AA10+AA12+AA13+AA14+AA16+AB22+AB23+AB24</f>
        <v>#REF!</v>
      </c>
      <c r="AB17" s="421">
        <v>100</v>
      </c>
      <c r="AC17" s="421"/>
      <c r="AD17" s="422">
        <v>100</v>
      </c>
    </row>
    <row r="18" spans="3:27" ht="12.75">
      <c r="C18" s="216" t="e">
        <f>C17/1000</f>
        <v>#REF!</v>
      </c>
      <c r="K18" s="216" t="e">
        <f>K17/1000</f>
        <v>#REF!</v>
      </c>
      <c r="S18" s="216" t="e">
        <f>S17/1000</f>
        <v>#REF!</v>
      </c>
      <c r="AA18" s="423" t="e">
        <f>AA17/1000+X26/1000</f>
        <v>#REF!</v>
      </c>
    </row>
    <row r="19" spans="10:27" ht="12.75">
      <c r="J19" s="216" t="s">
        <v>248</v>
      </c>
      <c r="K19" s="216" t="s">
        <v>384</v>
      </c>
      <c r="L19" s="216" t="s">
        <v>247</v>
      </c>
      <c r="AA19" s="423" t="e">
        <f>#REF!</f>
        <v>#REF!</v>
      </c>
    </row>
    <row r="20" spans="1:30" ht="38.25">
      <c r="A20" s="447" t="s">
        <v>215</v>
      </c>
      <c r="B20" s="214">
        <v>1596</v>
      </c>
      <c r="C20" s="214">
        <v>1.49</v>
      </c>
      <c r="D20" s="214">
        <f>B20*C20</f>
        <v>2378.04</v>
      </c>
      <c r="E20" s="214"/>
      <c r="F20" s="214"/>
      <c r="G20" s="214" t="s">
        <v>246</v>
      </c>
      <c r="H20" s="216">
        <v>0.732</v>
      </c>
      <c r="I20" s="447" t="s">
        <v>215</v>
      </c>
      <c r="J20" s="214">
        <v>1661</v>
      </c>
      <c r="K20" s="214">
        <v>1.49</v>
      </c>
      <c r="L20" s="214">
        <f>J20*K20</f>
        <v>2474.89</v>
      </c>
      <c r="M20" s="214"/>
      <c r="N20" s="214"/>
      <c r="Q20" s="424" t="s">
        <v>460</v>
      </c>
      <c r="R20" s="216" t="s">
        <v>169</v>
      </c>
      <c r="S20" s="216" t="e">
        <f>(S38+S41+S42)/1.137</f>
        <v>#REF!</v>
      </c>
      <c r="AA20" s="423" t="e">
        <f>AA19-AA18</f>
        <v>#REF!</v>
      </c>
      <c r="AB20" s="425" t="e">
        <f>AA20*1000/1.137</f>
        <v>#REF!</v>
      </c>
      <c r="AD20" s="216">
        <v>-271.5032021615198</v>
      </c>
    </row>
    <row r="21" spans="1:30" ht="30">
      <c r="A21" s="447" t="s">
        <v>216</v>
      </c>
      <c r="B21" s="214">
        <v>880</v>
      </c>
      <c r="C21" s="214">
        <v>1.45</v>
      </c>
      <c r="D21" s="214">
        <f>B21*C21</f>
        <v>1276</v>
      </c>
      <c r="E21" s="214"/>
      <c r="F21" s="214"/>
      <c r="G21" s="214" t="s">
        <v>246</v>
      </c>
      <c r="H21" s="216">
        <v>0.81</v>
      </c>
      <c r="I21" s="447" t="s">
        <v>216</v>
      </c>
      <c r="J21" s="214">
        <v>860</v>
      </c>
      <c r="K21" s="214">
        <v>1.45</v>
      </c>
      <c r="L21" s="214">
        <f>J21*K21</f>
        <v>1247</v>
      </c>
      <c r="M21" s="214"/>
      <c r="N21" s="214"/>
      <c r="T21" s="216" t="s">
        <v>247</v>
      </c>
      <c r="AD21" s="216">
        <v>1353.972240781214</v>
      </c>
    </row>
    <row r="22" spans="1:22" ht="30">
      <c r="A22" s="447" t="s">
        <v>217</v>
      </c>
      <c r="B22" s="214"/>
      <c r="C22" s="214"/>
      <c r="D22" s="214">
        <v>0</v>
      </c>
      <c r="E22" s="214"/>
      <c r="F22" s="214"/>
      <c r="G22" s="214"/>
      <c r="I22" s="447" t="s">
        <v>217</v>
      </c>
      <c r="J22" s="214"/>
      <c r="K22" s="214"/>
      <c r="L22" s="214">
        <v>0</v>
      </c>
      <c r="M22" s="214"/>
      <c r="N22" s="214"/>
      <c r="Q22" s="447" t="s">
        <v>215</v>
      </c>
      <c r="R22" s="414">
        <v>1437</v>
      </c>
      <c r="S22" s="214">
        <v>1.49</v>
      </c>
      <c r="T22" s="214">
        <f>R22*S22</f>
        <v>2141.13</v>
      </c>
      <c r="U22" s="214"/>
      <c r="V22" s="214"/>
    </row>
    <row r="23" spans="17:22" ht="15">
      <c r="Q23" s="447" t="s">
        <v>216</v>
      </c>
      <c r="R23" s="414">
        <v>730</v>
      </c>
      <c r="S23" s="214">
        <v>1.45</v>
      </c>
      <c r="T23" s="214">
        <f>R23*S23</f>
        <v>1058.5</v>
      </c>
      <c r="U23" s="214"/>
      <c r="V23" s="214"/>
    </row>
    <row r="24" spans="9:24" ht="30">
      <c r="I24" s="426"/>
      <c r="Q24" s="447" t="s">
        <v>217</v>
      </c>
      <c r="R24" s="214"/>
      <c r="S24" s="214"/>
      <c r="T24" s="214">
        <v>0</v>
      </c>
      <c r="U24" s="214"/>
      <c r="V24" s="214"/>
      <c r="X24" s="216" t="s">
        <v>440</v>
      </c>
    </row>
    <row r="25" spans="3:9" ht="15">
      <c r="C25" s="427"/>
      <c r="D25" s="427"/>
      <c r="E25" s="427"/>
      <c r="F25" s="427"/>
      <c r="G25" s="427"/>
      <c r="H25" s="427"/>
      <c r="I25" s="426"/>
    </row>
    <row r="26" spans="3:24" ht="15">
      <c r="C26" s="427"/>
      <c r="D26" s="346"/>
      <c r="E26" s="427"/>
      <c r="F26" s="427"/>
      <c r="G26" s="427"/>
      <c r="H26" s="427"/>
      <c r="I26" s="426"/>
      <c r="T26" s="428">
        <f>T22+T23</f>
        <v>3199.63</v>
      </c>
      <c r="X26" s="459" t="e">
        <f>T26-'данные база'!Q219*1000</f>
        <v>#REF!</v>
      </c>
    </row>
    <row r="27" spans="3:9" ht="15">
      <c r="C27" s="427"/>
      <c r="D27" s="346"/>
      <c r="E27" s="427"/>
      <c r="F27" s="427"/>
      <c r="G27" s="427"/>
      <c r="H27" s="427"/>
      <c r="I27" s="426"/>
    </row>
    <row r="28" spans="3:18" ht="15.75">
      <c r="C28" s="427"/>
      <c r="D28" s="346"/>
      <c r="E28" s="427"/>
      <c r="F28" s="427"/>
      <c r="G28" s="427"/>
      <c r="H28" s="427"/>
      <c r="I28" s="427"/>
      <c r="R28" s="449" t="s">
        <v>427</v>
      </c>
    </row>
    <row r="29" spans="3:22" ht="15">
      <c r="C29" s="427"/>
      <c r="D29" s="346"/>
      <c r="E29" s="427"/>
      <c r="F29" s="427"/>
      <c r="G29" s="427"/>
      <c r="H29" s="427"/>
      <c r="I29" s="427"/>
      <c r="Q29" s="739" t="s">
        <v>402</v>
      </c>
      <c r="R29" s="736" t="s">
        <v>277</v>
      </c>
      <c r="S29" s="737"/>
      <c r="T29" s="737"/>
      <c r="U29" s="737"/>
      <c r="V29" s="738"/>
    </row>
    <row r="30" spans="3:22" ht="51">
      <c r="C30" s="427"/>
      <c r="D30" s="427"/>
      <c r="E30" s="427"/>
      <c r="F30" s="427"/>
      <c r="G30" s="427"/>
      <c r="H30" s="427"/>
      <c r="I30" s="427"/>
      <c r="Q30" s="756"/>
      <c r="R30" s="739" t="s">
        <v>403</v>
      </c>
      <c r="S30" s="429" t="s">
        <v>404</v>
      </c>
      <c r="T30" s="429"/>
      <c r="U30" s="736" t="s">
        <v>405</v>
      </c>
      <c r="V30" s="738"/>
    </row>
    <row r="31" spans="17:22" ht="12.75">
      <c r="Q31" s="740"/>
      <c r="R31" s="740"/>
      <c r="S31" s="429" t="s">
        <v>486</v>
      </c>
      <c r="T31" s="429" t="s">
        <v>14</v>
      </c>
      <c r="U31" s="429" t="s">
        <v>406</v>
      </c>
      <c r="V31" s="429" t="s">
        <v>407</v>
      </c>
    </row>
    <row r="32" spans="17:22" ht="51">
      <c r="Q32" s="429" t="s">
        <v>408</v>
      </c>
      <c r="R32" s="429" t="e">
        <f>(#REF!+#REF!)/1000</f>
        <v>#REF!</v>
      </c>
      <c r="S32" s="429" t="e">
        <f>R32*0.123</f>
        <v>#REF!</v>
      </c>
      <c r="T32" s="429" t="e">
        <f>S32/S45*100</f>
        <v>#REF!</v>
      </c>
      <c r="U32" s="429"/>
      <c r="V32" s="429"/>
    </row>
    <row r="33" spans="17:22" ht="12.75">
      <c r="Q33" s="429"/>
      <c r="R33" s="429"/>
      <c r="S33" s="429"/>
      <c r="T33" s="429"/>
      <c r="U33" s="429"/>
      <c r="V33" s="429"/>
    </row>
    <row r="34" spans="17:22" ht="12.75">
      <c r="Q34" s="429" t="s">
        <v>420</v>
      </c>
      <c r="R34" s="429"/>
      <c r="S34" s="429"/>
      <c r="T34" s="429"/>
      <c r="U34" s="429"/>
      <c r="V34" s="429"/>
    </row>
    <row r="35" spans="4:22" ht="15">
      <c r="D35" s="251" t="s">
        <v>100</v>
      </c>
      <c r="Q35" s="429"/>
      <c r="R35" s="429"/>
      <c r="S35" s="429"/>
      <c r="T35" s="429"/>
      <c r="U35" s="429"/>
      <c r="V35" s="429"/>
    </row>
    <row r="36" spans="4:22" ht="15">
      <c r="D36" s="251" t="s">
        <v>103</v>
      </c>
      <c r="Q36" s="429" t="s">
        <v>409</v>
      </c>
      <c r="R36" s="429" t="e">
        <f>(#REF!+#REF!)/1000</f>
        <v>#REF!</v>
      </c>
      <c r="S36" s="429" t="e">
        <f>R36*1.137*1000</f>
        <v>#REF!</v>
      </c>
      <c r="T36" s="429" t="e">
        <f>S36/S45*100</f>
        <v>#REF!</v>
      </c>
      <c r="U36" s="429"/>
      <c r="V36" s="429"/>
    </row>
    <row r="37" spans="17:22" ht="12.75">
      <c r="Q37" s="429" t="s">
        <v>410</v>
      </c>
      <c r="R37" s="429"/>
      <c r="S37" s="429"/>
      <c r="T37" s="429"/>
      <c r="U37" s="429"/>
      <c r="V37" s="429"/>
    </row>
    <row r="38" spans="17:22" ht="12.75">
      <c r="Q38" s="429" t="s">
        <v>411</v>
      </c>
      <c r="R38" s="429">
        <v>0</v>
      </c>
      <c r="S38" s="429">
        <f>R38*1570</f>
        <v>0</v>
      </c>
      <c r="T38" s="429" t="e">
        <f>S38/S45*100</f>
        <v>#REF!</v>
      </c>
      <c r="U38" s="429"/>
      <c r="V38" s="429"/>
    </row>
    <row r="39" spans="17:22" ht="12.75">
      <c r="Q39" s="429" t="s">
        <v>412</v>
      </c>
      <c r="R39" s="429"/>
      <c r="S39" s="429"/>
      <c r="T39" s="429"/>
      <c r="U39" s="429"/>
      <c r="V39" s="429"/>
    </row>
    <row r="40" spans="17:22" ht="25.5">
      <c r="Q40" s="429" t="s">
        <v>413</v>
      </c>
      <c r="R40" s="429">
        <v>0</v>
      </c>
      <c r="S40" s="429">
        <f>R40*1.37</f>
        <v>0</v>
      </c>
      <c r="T40" s="429" t="e">
        <f>S40/S45*100</f>
        <v>#REF!</v>
      </c>
      <c r="U40" s="429"/>
      <c r="V40" s="429"/>
    </row>
    <row r="41" spans="4:22" ht="25.5">
      <c r="D41" s="254"/>
      <c r="Q41" s="429" t="s">
        <v>414</v>
      </c>
      <c r="R41" s="429">
        <v>0</v>
      </c>
      <c r="S41" s="429">
        <f>R41*768</f>
        <v>0</v>
      </c>
      <c r="T41" s="429" t="e">
        <f>S41/S45*100</f>
        <v>#REF!</v>
      </c>
      <c r="U41" s="429"/>
      <c r="V41" s="429"/>
    </row>
    <row r="42" spans="17:22" ht="12.75">
      <c r="Q42" s="429" t="s">
        <v>415</v>
      </c>
      <c r="R42" s="429" t="e">
        <f>R14</f>
        <v>#REF!</v>
      </c>
      <c r="S42" s="429" t="e">
        <f>R42*266</f>
        <v>#REF!</v>
      </c>
      <c r="T42" s="429" t="e">
        <f>S42/S45*100</f>
        <v>#REF!</v>
      </c>
      <c r="U42" s="429"/>
      <c r="V42" s="429"/>
    </row>
    <row r="43" spans="17:22" ht="12.75">
      <c r="Q43" s="429" t="s">
        <v>416</v>
      </c>
      <c r="R43" s="429"/>
      <c r="S43" s="429"/>
      <c r="T43" s="429"/>
      <c r="U43" s="429"/>
      <c r="V43" s="429"/>
    </row>
    <row r="44" spans="17:22" ht="25.5">
      <c r="Q44" s="429" t="s">
        <v>417</v>
      </c>
      <c r="R44" s="429">
        <v>0</v>
      </c>
      <c r="S44" s="429">
        <f>R44*600</f>
        <v>0</v>
      </c>
      <c r="T44" s="429" t="e">
        <f>S44/S45*100</f>
        <v>#REF!</v>
      </c>
      <c r="U44" s="429"/>
      <c r="V44" s="429"/>
    </row>
    <row r="45" spans="17:22" ht="12.75">
      <c r="Q45" s="429" t="s">
        <v>418</v>
      </c>
      <c r="R45" s="429" t="s">
        <v>102</v>
      </c>
      <c r="S45" s="429" t="e">
        <f>S32+S36+S38+S40+S41+S42+S44+T50+T51+T52</f>
        <v>#REF!</v>
      </c>
      <c r="T45" s="429">
        <v>100</v>
      </c>
      <c r="U45" s="429"/>
      <c r="V45" s="429">
        <v>100</v>
      </c>
    </row>
    <row r="46" spans="17:22" ht="12.75">
      <c r="Q46" s="448"/>
      <c r="R46" s="448"/>
      <c r="S46" s="448"/>
      <c r="T46" s="448"/>
      <c r="U46" s="448"/>
      <c r="V46" s="448"/>
    </row>
  </sheetData>
  <sheetProtection password="CF6E" sheet="1" objects="1" scenarios="1" selectLockedCells="1" selectUnlockedCells="1"/>
  <mergeCells count="31">
    <mergeCell ref="E2:F2"/>
    <mergeCell ref="F14:F15"/>
    <mergeCell ref="E14:E15"/>
    <mergeCell ref="E8:E9"/>
    <mergeCell ref="E10:E11"/>
    <mergeCell ref="F10:F11"/>
    <mergeCell ref="F8:F9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B10:B11"/>
    <mergeCell ref="D10:D11"/>
    <mergeCell ref="B8:B9"/>
    <mergeCell ref="C8:C9"/>
    <mergeCell ref="C10:C11"/>
    <mergeCell ref="Q29:Q31"/>
    <mergeCell ref="R29:V29"/>
    <mergeCell ref="R30:R31"/>
    <mergeCell ref="U30:V30"/>
    <mergeCell ref="Q1:Q3"/>
    <mergeCell ref="R1:V1"/>
    <mergeCell ref="R2:R3"/>
    <mergeCell ref="S2:T2"/>
    <mergeCell ref="U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6" customWidth="1"/>
    <col min="2" max="2" width="9.57421875" style="216" customWidth="1"/>
    <col min="3" max="3" width="15.140625" style="216" customWidth="1"/>
    <col min="4" max="4" width="9.57421875" style="216" customWidth="1"/>
    <col min="5" max="6" width="9.57421875" style="216" bestFit="1" customWidth="1"/>
    <col min="7" max="16384" width="9.140625" style="216" customWidth="1"/>
  </cols>
  <sheetData>
    <row r="1" spans="1:19" s="220" customFormat="1" ht="16.5" thickBot="1">
      <c r="A1" s="650" t="s">
        <v>184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2"/>
      <c r="P1" s="652"/>
      <c r="Q1" s="652"/>
      <c r="R1" s="652"/>
      <c r="S1" s="653"/>
    </row>
    <row r="2" spans="1:19" ht="14.25">
      <c r="A2" s="223"/>
      <c r="B2" s="458">
        <f>'расчет показат'!E4</f>
        <v>2007</v>
      </c>
      <c r="C2" s="458">
        <f>'расчет показат'!F4</f>
        <v>2008</v>
      </c>
      <c r="D2" s="458">
        <f>'расчет показат'!G4</f>
        <v>2009</v>
      </c>
      <c r="E2" s="458">
        <f>'расчет показат'!H4</f>
        <v>2010</v>
      </c>
      <c r="F2" s="458">
        <f>'расчет показат'!I4</f>
        <v>2011</v>
      </c>
      <c r="G2" s="458">
        <f>'расчет показат'!J4</f>
        <v>2012</v>
      </c>
      <c r="H2" s="458">
        <f>'расчет показат'!K4</f>
        <v>2013</v>
      </c>
      <c r="I2" s="458">
        <f>'расчет показат'!L4</f>
        <v>2014</v>
      </c>
      <c r="J2" s="458">
        <f>'расчет показат'!M4</f>
        <v>2015</v>
      </c>
      <c r="K2" s="458">
        <f>'расчет показат'!N4</f>
        <v>2016</v>
      </c>
      <c r="L2" s="458">
        <f>'расчет показат'!O4</f>
        <v>2017</v>
      </c>
      <c r="M2" s="458">
        <f>'расчет показат'!P4</f>
        <v>2018</v>
      </c>
      <c r="N2" s="458">
        <f>'расчет показат'!Q4</f>
        <v>2019</v>
      </c>
      <c r="O2" s="222"/>
      <c r="P2" s="222"/>
      <c r="Q2" s="222"/>
      <c r="R2" s="222"/>
      <c r="S2" s="222"/>
    </row>
    <row r="3" spans="1:19" ht="105.75" customHeight="1">
      <c r="A3" s="217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58" t="e">
        <f>'ЗНАЧЕНИЕ ЦЕЛЕВЫХ ПОКАЗАТЕЛЕЙ'!#REF!</f>
        <v>#REF!</v>
      </c>
      <c r="C3" s="458" t="e">
        <f>'ЗНАЧЕНИЕ ЦЕЛЕВЫХ ПОКАЗАТЕЛЕЙ'!#REF!</f>
        <v>#REF!</v>
      </c>
      <c r="D3" s="458" t="e">
        <f>'ЗНАЧЕНИЕ ЦЕЛЕВЫХ ПОКАЗАТЕЛЕЙ'!#REF!</f>
        <v>#REF!</v>
      </c>
      <c r="E3" s="458" t="e">
        <f>'ЗНАЧЕНИЕ ЦЕЛЕВЫХ ПОКАЗАТЕЛЕЙ'!#REF!</f>
        <v>#REF!</v>
      </c>
      <c r="F3" s="458" t="e">
        <f>'ЗНАЧЕНИЕ ЦЕЛЕВЫХ ПОКАЗАТЕЛЕЙ'!#REF!</f>
        <v>#REF!</v>
      </c>
      <c r="G3" s="458" t="e">
        <f>'ЗНАЧЕНИЕ ЦЕЛЕВЫХ ПОКАЗАТЕЛЕЙ'!#REF!</f>
        <v>#REF!</v>
      </c>
      <c r="H3" s="458" t="e">
        <f>'ЗНАЧЕНИЕ ЦЕЛЕВЫХ ПОКАЗАТЕЛЕЙ'!#REF!</f>
        <v>#REF!</v>
      </c>
      <c r="I3" s="458" t="e">
        <f>'ЗНАЧЕНИЕ ЦЕЛЕВЫХ ПОКАЗАТЕЛЕЙ'!#REF!</f>
        <v>#REF!</v>
      </c>
      <c r="J3" s="458" t="e">
        <f>'ЗНАЧЕНИЕ ЦЕЛЕВЫХ ПОКАЗАТЕЛЕЙ'!#REF!</f>
        <v>#REF!</v>
      </c>
      <c r="K3" s="458" t="e">
        <f>'ЗНАЧЕНИЕ ЦЕЛЕВЫХ ПОКАЗАТЕЛЕЙ'!#REF!</f>
        <v>#REF!</v>
      </c>
      <c r="L3" s="458" t="e">
        <f>'ЗНАЧЕНИЕ ЦЕЛЕВЫХ ПОКАЗАТЕЛЕЙ'!#REF!</f>
        <v>#REF!</v>
      </c>
      <c r="M3" s="458" t="e">
        <f>'ЗНАЧЕНИЕ ЦЕЛЕВЫХ ПОКАЗАТЕЛЕЙ'!#REF!</f>
        <v>#REF!</v>
      </c>
      <c r="N3" s="458" t="e">
        <f>'ЗНАЧЕНИЕ ЦЕЛЕВЫХ ПОКАЗАТЕЛЕЙ'!#REF!</f>
        <v>#REF!</v>
      </c>
      <c r="O3" s="222"/>
      <c r="P3" s="222"/>
      <c r="Q3" s="222"/>
      <c r="R3" s="222"/>
      <c r="S3" s="222"/>
    </row>
    <row r="4" spans="1:14" ht="90.75" customHeight="1">
      <c r="A4" s="217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29" t="e">
        <f>'ЗНАЧЕНИЕ ЦЕЛЕВЫХ ПОКАЗАТЕЛЕЙ'!#REF!</f>
        <v>#REF!</v>
      </c>
      <c r="F4" s="429" t="e">
        <f>'ЗНАЧЕНИЕ ЦЕЛЕВЫХ ПОКАЗАТЕЛЕЙ'!#REF!</f>
        <v>#REF!</v>
      </c>
      <c r="G4" s="429" t="e">
        <f>'ЗНАЧЕНИЕ ЦЕЛЕВЫХ ПОКАЗАТЕЛЕЙ'!#REF!</f>
        <v>#REF!</v>
      </c>
      <c r="H4" s="429" t="e">
        <f>'ЗНАЧЕНИЕ ЦЕЛЕВЫХ ПОКАЗАТЕЛЕЙ'!#REF!</f>
        <v>#REF!</v>
      </c>
      <c r="I4" s="429" t="e">
        <f>'ЗНАЧЕНИЕ ЦЕЛЕВЫХ ПОКАЗАТЕЛЕЙ'!#REF!</f>
        <v>#REF!</v>
      </c>
      <c r="J4" s="429" t="e">
        <f>'ЗНАЧЕНИЕ ЦЕЛЕВЫХ ПОКАЗАТЕЛЕЙ'!#REF!</f>
        <v>#REF!</v>
      </c>
      <c r="K4" s="429" t="e">
        <f>'ЗНАЧЕНИЕ ЦЕЛЕВЫХ ПОКАЗАТЕЛЕЙ'!#REF!</f>
        <v>#REF!</v>
      </c>
      <c r="L4" s="429" t="e">
        <f>'ЗНАЧЕНИЕ ЦЕЛЕВЫХ ПОКАЗАТЕЛЕЙ'!#REF!</f>
        <v>#REF!</v>
      </c>
      <c r="M4" s="429" t="e">
        <f>'ЗНАЧЕНИЕ ЦЕЛЕВЫХ ПОКАЗАТЕЛЕЙ'!#REF!</f>
        <v>#REF!</v>
      </c>
      <c r="N4" s="429" t="e">
        <f>'ЗНАЧЕНИЕ ЦЕЛЕВЫХ ПОКАЗАТЕЛЕЙ'!#REF!</f>
        <v>#REF!</v>
      </c>
    </row>
    <row r="5" spans="1:14" ht="12.75">
      <c r="A5" s="424"/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1:14" ht="89.25">
      <c r="A6" s="217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29" t="e">
        <f>'ЗНАЧЕНИЕ ЦЕЛЕВЫХ ПОКАЗАТЕЛЕЙ'!#REF!</f>
        <v>#REF!</v>
      </c>
      <c r="C6" s="429" t="e">
        <f>'ЗНАЧЕНИЕ ЦЕЛЕВЫХ ПОКАЗАТЕЛЕЙ'!#REF!</f>
        <v>#REF!</v>
      </c>
      <c r="D6" s="429" t="e">
        <f>'ЗНАЧЕНИЕ ЦЕЛЕВЫХ ПОКАЗАТЕЛЕЙ'!#REF!</f>
        <v>#REF!</v>
      </c>
      <c r="E6" s="429" t="e">
        <f>'ЗНАЧЕНИЕ ЦЕЛЕВЫХ ПОКАЗАТЕЛЕЙ'!#REF!</f>
        <v>#REF!</v>
      </c>
      <c r="F6" s="429" t="e">
        <f>'ЗНАЧЕНИЕ ЦЕЛЕВЫХ ПОКАЗАТЕЛЕЙ'!#REF!</f>
        <v>#REF!</v>
      </c>
      <c r="G6" s="429" t="e">
        <f>'ЗНАЧЕНИЕ ЦЕЛЕВЫХ ПОКАЗАТЕЛЕЙ'!#REF!</f>
        <v>#REF!</v>
      </c>
      <c r="H6" s="429" t="e">
        <f>'ЗНАЧЕНИЕ ЦЕЛЕВЫХ ПОКАЗАТЕЛЕЙ'!#REF!</f>
        <v>#REF!</v>
      </c>
      <c r="I6" s="429" t="e">
        <f>'ЗНАЧЕНИЕ ЦЕЛЕВЫХ ПОКАЗАТЕЛЕЙ'!#REF!</f>
        <v>#REF!</v>
      </c>
      <c r="J6" s="429" t="e">
        <f>'ЗНАЧЕНИЕ ЦЕЛЕВЫХ ПОКАЗАТЕЛЕЙ'!#REF!</f>
        <v>#REF!</v>
      </c>
      <c r="K6" s="429" t="e">
        <f>'ЗНАЧЕНИЕ ЦЕЛЕВЫХ ПОКАЗАТЕЛЕЙ'!#REF!</f>
        <v>#REF!</v>
      </c>
      <c r="L6" s="429" t="e">
        <f>'ЗНАЧЕНИЕ ЦЕЛЕВЫХ ПОКАЗАТЕЛЕЙ'!#REF!</f>
        <v>#REF!</v>
      </c>
      <c r="M6" s="429" t="e">
        <f>'ЗНАЧЕНИЕ ЦЕЛЕВЫХ ПОКАЗАТЕЛЕЙ'!#REF!</f>
        <v>#REF!</v>
      </c>
      <c r="N6" s="429" t="e">
        <f>'ЗНАЧЕНИЕ ЦЕЛЕВЫХ ПОКАЗАТЕЛЕЙ'!#REF!</f>
        <v>#REF!</v>
      </c>
    </row>
    <row r="7" spans="1:14" ht="89.25">
      <c r="A7" s="217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1" t="e">
        <f>'ЗНАЧЕНИЕ ЦЕЛЕВЫХ ПОКАЗАТЕЛЕЙ'!#REF!</f>
        <v>#REF!</v>
      </c>
      <c r="C7" s="451" t="e">
        <f>'ЗНАЧЕНИЕ ЦЕЛЕВЫХ ПОКАЗАТЕЛЕЙ'!#REF!</f>
        <v>#REF!</v>
      </c>
      <c r="D7" s="451" t="e">
        <f>'ЗНАЧЕНИЕ ЦЕЛЕВЫХ ПОКАЗАТЕЛЕЙ'!#REF!</f>
        <v>#REF!</v>
      </c>
      <c r="E7" s="451" t="e">
        <f>'ЗНАЧЕНИЕ ЦЕЛЕВЫХ ПОКАЗАТЕЛЕЙ'!#REF!</f>
        <v>#REF!</v>
      </c>
      <c r="F7" s="451" t="e">
        <f>'ЗНАЧЕНИЕ ЦЕЛЕВЫХ ПОКАЗАТЕЛЕЙ'!#REF!</f>
        <v>#REF!</v>
      </c>
      <c r="G7" s="451" t="e">
        <f>'ЗНАЧЕНИЕ ЦЕЛЕВЫХ ПОКАЗАТЕЛЕЙ'!#REF!</f>
        <v>#REF!</v>
      </c>
      <c r="H7" s="451" t="e">
        <f>'ЗНАЧЕНИЕ ЦЕЛЕВЫХ ПОКАЗАТЕЛЕЙ'!#REF!</f>
        <v>#REF!</v>
      </c>
      <c r="I7" s="451" t="e">
        <f>'ЗНАЧЕНИЕ ЦЕЛЕВЫХ ПОКАЗАТЕЛЕЙ'!#REF!</f>
        <v>#REF!</v>
      </c>
      <c r="J7" s="451" t="e">
        <f>'ЗНАЧЕНИЕ ЦЕЛЕВЫХ ПОКАЗАТЕЛЕЙ'!#REF!</f>
        <v>#REF!</v>
      </c>
      <c r="K7" s="451" t="e">
        <f>'ЗНАЧЕНИЕ ЦЕЛЕВЫХ ПОКАЗАТЕЛЕЙ'!#REF!</f>
        <v>#REF!</v>
      </c>
      <c r="L7" s="451" t="e">
        <f>'ЗНАЧЕНИЕ ЦЕЛЕВЫХ ПОКАЗАТЕЛЕЙ'!#REF!</f>
        <v>#REF!</v>
      </c>
      <c r="M7" s="451" t="e">
        <f>'ЗНАЧЕНИЕ ЦЕЛЕВЫХ ПОКАЗАТЕЛЕЙ'!#REF!</f>
        <v>#REF!</v>
      </c>
      <c r="N7" s="451" t="e">
        <f>'ЗНАЧЕНИЕ ЦЕЛЕВЫХ ПОКАЗАТЕЛЕЙ'!#REF!</f>
        <v>#REF!</v>
      </c>
    </row>
    <row r="8" spans="1:14" ht="12.75">
      <c r="A8" s="424"/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</row>
    <row r="9" spans="1:14" ht="102">
      <c r="A9" s="217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1" t="e">
        <f>'ЗНАЧЕНИЕ ЦЕЛЕВЫХ ПОКАЗАТЕЛЕЙ'!#REF!</f>
        <v>#REF!</v>
      </c>
      <c r="C9" s="451" t="e">
        <f>'ЗНАЧЕНИЕ ЦЕЛЕВЫХ ПОКАЗАТЕЛЕЙ'!#REF!</f>
        <v>#REF!</v>
      </c>
      <c r="D9" s="451" t="e">
        <f>'ЗНАЧЕНИЕ ЦЕЛЕВЫХ ПОКАЗАТЕЛЕЙ'!#REF!</f>
        <v>#REF!</v>
      </c>
      <c r="E9" s="451" t="e">
        <f>'ЗНАЧЕНИЕ ЦЕЛЕВЫХ ПОКАЗАТЕЛЕЙ'!#REF!</f>
        <v>#REF!</v>
      </c>
      <c r="F9" s="451" t="e">
        <f>'ЗНАЧЕНИЕ ЦЕЛЕВЫХ ПОКАЗАТЕЛЕЙ'!#REF!</f>
        <v>#REF!</v>
      </c>
      <c r="G9" s="451" t="e">
        <f>'ЗНАЧЕНИЕ ЦЕЛЕВЫХ ПОКАЗАТЕЛЕЙ'!#REF!</f>
        <v>#REF!</v>
      </c>
      <c r="H9" s="451" t="e">
        <f>'ЗНАЧЕНИЕ ЦЕЛЕВЫХ ПОКАЗАТЕЛЕЙ'!#REF!</f>
        <v>#REF!</v>
      </c>
      <c r="I9" s="451" t="e">
        <f>'ЗНАЧЕНИЕ ЦЕЛЕВЫХ ПОКАЗАТЕЛЕЙ'!#REF!</f>
        <v>#REF!</v>
      </c>
      <c r="J9" s="451" t="e">
        <f>'ЗНАЧЕНИЕ ЦЕЛЕВЫХ ПОКАЗАТЕЛЕЙ'!#REF!</f>
        <v>#REF!</v>
      </c>
      <c r="K9" s="451" t="e">
        <f>'ЗНАЧЕНИЕ ЦЕЛЕВЫХ ПОКАЗАТЕЛЕЙ'!#REF!</f>
        <v>#REF!</v>
      </c>
      <c r="L9" s="451" t="e">
        <f>'ЗНАЧЕНИЕ ЦЕЛЕВЫХ ПОКАЗАТЕЛЕЙ'!#REF!</f>
        <v>#REF!</v>
      </c>
      <c r="M9" s="451" t="e">
        <f>'ЗНАЧЕНИЕ ЦЕЛЕВЫХ ПОКАЗАТЕЛЕЙ'!#REF!</f>
        <v>#REF!</v>
      </c>
      <c r="N9" s="451" t="e">
        <f>'ЗНАЧЕНИЕ ЦЕЛЕВЫХ ПОКАЗАТЕЛЕЙ'!#REF!</f>
        <v>#REF!</v>
      </c>
    </row>
    <row r="10" spans="1:14" ht="102.75" customHeight="1">
      <c r="A10" s="217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1" t="e">
        <f>'ЗНАЧЕНИЕ ЦЕЛЕВЫХ ПОКАЗАТЕЛЕЙ'!#REF!</f>
        <v>#REF!</v>
      </c>
      <c r="C10" s="451" t="e">
        <f>'ЗНАЧЕНИЕ ЦЕЛЕВЫХ ПОКАЗАТЕЛЕЙ'!#REF!</f>
        <v>#REF!</v>
      </c>
      <c r="D10" s="451" t="e">
        <f>'ЗНАЧЕНИЕ ЦЕЛЕВЫХ ПОКАЗАТЕЛЕЙ'!#REF!</f>
        <v>#REF!</v>
      </c>
      <c r="E10" s="451" t="e">
        <f>'ЗНАЧЕНИЕ ЦЕЛЕВЫХ ПОКАЗАТЕЛЕЙ'!#REF!</f>
        <v>#REF!</v>
      </c>
      <c r="F10" s="451" t="e">
        <f>'ЗНАЧЕНИЕ ЦЕЛЕВЫХ ПОКАЗАТЕЛЕЙ'!#REF!</f>
        <v>#REF!</v>
      </c>
      <c r="G10" s="429" t="e">
        <f>'ЗНАЧЕНИЕ ЦЕЛЕВЫХ ПОКАЗАТЕЛЕЙ'!#REF!</f>
        <v>#REF!</v>
      </c>
      <c r="H10" s="429" t="e">
        <f>'ЗНАЧЕНИЕ ЦЕЛЕВЫХ ПОКАЗАТЕЛЕЙ'!#REF!</f>
        <v>#REF!</v>
      </c>
      <c r="I10" s="429" t="e">
        <f>'ЗНАЧЕНИЕ ЦЕЛЕВЫХ ПОКАЗАТЕЛЕЙ'!#REF!</f>
        <v>#REF!</v>
      </c>
      <c r="J10" s="429" t="e">
        <f>'ЗНАЧЕНИЕ ЦЕЛЕВЫХ ПОКАЗАТЕЛЕЙ'!#REF!</f>
        <v>#REF!</v>
      </c>
      <c r="K10" s="429" t="e">
        <f>'ЗНАЧЕНИЕ ЦЕЛЕВЫХ ПОКАЗАТЕЛЕЙ'!#REF!</f>
        <v>#REF!</v>
      </c>
      <c r="L10" s="429" t="e">
        <f>'ЗНАЧЕНИЕ ЦЕЛЕВЫХ ПОКАЗАТЕЛЕЙ'!#REF!</f>
        <v>#REF!</v>
      </c>
      <c r="M10" s="429" t="e">
        <f>'ЗНАЧЕНИЕ ЦЕЛЕВЫХ ПОКАЗАТЕЛЕЙ'!#REF!</f>
        <v>#REF!</v>
      </c>
      <c r="N10" s="429" t="e">
        <f>'ЗНАЧЕНИЕ ЦЕЛЕВЫХ ПОКАЗАТЕЛЕЙ'!#REF!</f>
        <v>#REF!</v>
      </c>
    </row>
    <row r="11" spans="1:14" ht="12.75">
      <c r="A11" s="424"/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</row>
    <row r="12" spans="1:14" ht="126.75" customHeight="1">
      <c r="A12" s="217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1" t="e">
        <f>'ЗНАЧЕНИЕ ЦЕЛЕВЫХ ПОКАЗАТЕЛЕЙ'!#REF!</f>
        <v>#REF!</v>
      </c>
      <c r="C12" s="451" t="e">
        <f>'ЗНАЧЕНИЕ ЦЕЛЕВЫХ ПОКАЗАТЕЛЕЙ'!#REF!</f>
        <v>#REF!</v>
      </c>
      <c r="D12" s="451" t="e">
        <f>'ЗНАЧЕНИЕ ЦЕЛЕВЫХ ПОКАЗАТЕЛЕЙ'!#REF!</f>
        <v>#REF!</v>
      </c>
      <c r="E12" s="451" t="e">
        <f>'ЗНАЧЕНИЕ ЦЕЛЕВЫХ ПОКАЗАТЕЛЕЙ'!#REF!</f>
        <v>#REF!</v>
      </c>
      <c r="F12" s="451" t="e">
        <f>'ЗНАЧЕНИЕ ЦЕЛЕВЫХ ПОКАЗАТЕЛЕЙ'!#REF!</f>
        <v>#REF!</v>
      </c>
      <c r="G12" s="451" t="e">
        <f>'ЗНАЧЕНИЕ ЦЕЛЕВЫХ ПОКАЗАТЕЛЕЙ'!#REF!</f>
        <v>#REF!</v>
      </c>
      <c r="H12" s="451" t="e">
        <f>'ЗНАЧЕНИЕ ЦЕЛЕВЫХ ПОКАЗАТЕЛЕЙ'!#REF!</f>
        <v>#REF!</v>
      </c>
      <c r="I12" s="451" t="e">
        <f>'ЗНАЧЕНИЕ ЦЕЛЕВЫХ ПОКАЗАТЕЛЕЙ'!#REF!</f>
        <v>#REF!</v>
      </c>
      <c r="J12" s="451" t="e">
        <f>'ЗНАЧЕНИЕ ЦЕЛЕВЫХ ПОКАЗАТЕЛЕЙ'!#REF!</f>
        <v>#REF!</v>
      </c>
      <c r="K12" s="451" t="e">
        <f>'ЗНАЧЕНИЕ ЦЕЛЕВЫХ ПОКАЗАТЕЛЕЙ'!#REF!</f>
        <v>#REF!</v>
      </c>
      <c r="L12" s="451" t="e">
        <f>'ЗНАЧЕНИЕ ЦЕЛЕВЫХ ПОКАЗАТЕЛЕЙ'!#REF!</f>
        <v>#REF!</v>
      </c>
      <c r="M12" s="451" t="e">
        <f>'ЗНАЧЕНИЕ ЦЕЛЕВЫХ ПОКАЗАТЕЛЕЙ'!#REF!</f>
        <v>#REF!</v>
      </c>
      <c r="N12" s="451" t="e">
        <f>'ЗНАЧЕНИЕ ЦЕЛЕВЫХ ПОКАЗАТЕЛЕЙ'!#REF!</f>
        <v>#REF!</v>
      </c>
    </row>
    <row r="13" spans="1:14" ht="127.5">
      <c r="A13" s="217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1" t="e">
        <f>'ЗНАЧЕНИЕ ЦЕЛЕВЫХ ПОКАЗАТЕЛЕЙ'!#REF!</f>
        <v>#REF!</v>
      </c>
      <c r="C13" s="451" t="e">
        <f>'ЗНАЧЕНИЕ ЦЕЛЕВЫХ ПОКАЗАТЕЛЕЙ'!#REF!</f>
        <v>#REF!</v>
      </c>
      <c r="D13" s="451" t="e">
        <f>'ЗНАЧЕНИЕ ЦЕЛЕВЫХ ПОКАЗАТЕЛЕЙ'!#REF!</f>
        <v>#REF!</v>
      </c>
      <c r="E13" s="451" t="e">
        <f>'ЗНАЧЕНИЕ ЦЕЛЕВЫХ ПОКАЗАТЕЛЕЙ'!#REF!</f>
        <v>#REF!</v>
      </c>
      <c r="F13" s="451" t="e">
        <f>'ЗНАЧЕНИЕ ЦЕЛЕВЫХ ПОКАЗАТЕЛЕЙ'!#REF!</f>
        <v>#REF!</v>
      </c>
      <c r="G13" s="451" t="e">
        <f>'ЗНАЧЕНИЕ ЦЕЛЕВЫХ ПОКАЗАТЕЛЕЙ'!#REF!</f>
        <v>#REF!</v>
      </c>
      <c r="H13" s="451" t="e">
        <f>'ЗНАЧЕНИЕ ЦЕЛЕВЫХ ПОКАЗАТЕЛЕЙ'!#REF!</f>
        <v>#REF!</v>
      </c>
      <c r="I13" s="451" t="e">
        <f>'ЗНАЧЕНИЕ ЦЕЛЕВЫХ ПОКАЗАТЕЛЕЙ'!#REF!</f>
        <v>#REF!</v>
      </c>
      <c r="J13" s="451" t="e">
        <f>'ЗНАЧЕНИЕ ЦЕЛЕВЫХ ПОКАЗАТЕЛЕЙ'!#REF!</f>
        <v>#REF!</v>
      </c>
      <c r="K13" s="451" t="e">
        <f>'ЗНАЧЕНИЕ ЦЕЛЕВЫХ ПОКАЗАТЕЛЕЙ'!#REF!</f>
        <v>#REF!</v>
      </c>
      <c r="L13" s="451" t="e">
        <f>'ЗНАЧЕНИЕ ЦЕЛЕВЫХ ПОКАЗАТЕЛЕЙ'!#REF!</f>
        <v>#REF!</v>
      </c>
      <c r="M13" s="451" t="e">
        <f>'ЗНАЧЕНИЕ ЦЕЛЕВЫХ ПОКАЗАТЕЛЕЙ'!#REF!</f>
        <v>#REF!</v>
      </c>
      <c r="N13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9" ht="33" customHeight="1" thickBot="1">
      <c r="A1" s="654" t="s">
        <v>88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2"/>
      <c r="P1" s="652"/>
      <c r="Q1" s="652"/>
      <c r="R1" s="652"/>
      <c r="S1" s="653"/>
    </row>
    <row r="2" spans="1:14" ht="12.75">
      <c r="A2" s="215" t="s">
        <v>398</v>
      </c>
      <c r="B2" s="450">
        <f>'расчет показат'!E4</f>
        <v>2007</v>
      </c>
      <c r="C2" s="450">
        <f>'расчет показат'!F4</f>
        <v>2008</v>
      </c>
      <c r="D2" s="450">
        <f>'расчет показат'!G4</f>
        <v>2009</v>
      </c>
      <c r="E2" s="450">
        <f>'расчет показат'!H4</f>
        <v>2010</v>
      </c>
      <c r="F2" s="450">
        <f>'расчет показат'!I4</f>
        <v>2011</v>
      </c>
      <c r="G2" s="450">
        <f>'расчет показат'!J4</f>
        <v>2012</v>
      </c>
      <c r="H2" s="450">
        <f>'расчет показат'!K4</f>
        <v>2013</v>
      </c>
      <c r="I2" s="450">
        <f>'расчет показат'!L4</f>
        <v>2014</v>
      </c>
      <c r="J2" s="450">
        <f>'расчет показат'!M4</f>
        <v>2015</v>
      </c>
      <c r="K2" s="450">
        <f>'расчет показат'!N4</f>
        <v>2016</v>
      </c>
      <c r="L2" s="450">
        <f>'расчет показат'!O4</f>
        <v>2017</v>
      </c>
      <c r="M2" s="450">
        <f>'расчет показат'!P4</f>
        <v>2018</v>
      </c>
      <c r="N2" s="450">
        <f>'расчет показат'!Q4</f>
        <v>2019</v>
      </c>
    </row>
    <row r="3" spans="1:14" ht="89.25" customHeight="1">
      <c r="A3" s="217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57" t="e">
        <f>'ЗНАЧЕНИЕ ЦЕЛЕВЫХ ПОКАЗАТЕЛЕЙ'!#REF!</f>
        <v>#REF!</v>
      </c>
      <c r="C3" s="457" t="e">
        <f>'ЗНАЧЕНИЕ ЦЕЛЕВЫХ ПОКАЗАТЕЛЕЙ'!#REF!</f>
        <v>#REF!</v>
      </c>
      <c r="D3" s="457" t="e">
        <f>'ЗНАЧЕНИЕ ЦЕЛЕВЫХ ПОКАЗАТЕЛЕЙ'!#REF!</f>
        <v>#REF!</v>
      </c>
      <c r="E3" s="457" t="e">
        <f>'ЗНАЧЕНИЕ ЦЕЛЕВЫХ ПОКАЗАТЕЛЕЙ'!#REF!</f>
        <v>#REF!</v>
      </c>
      <c r="F3" s="457" t="e">
        <f>'ЗНАЧЕНИЕ ЦЕЛЕВЫХ ПОКАЗАТЕЛЕЙ'!#REF!</f>
        <v>#REF!</v>
      </c>
      <c r="G3" s="457" t="e">
        <f>'ЗНАЧЕНИЕ ЦЕЛЕВЫХ ПОКАЗАТЕЛЕЙ'!#REF!</f>
        <v>#REF!</v>
      </c>
      <c r="H3" s="457" t="e">
        <f>'ЗНАЧЕНИЕ ЦЕЛЕВЫХ ПОКАЗАТЕЛЕЙ'!#REF!</f>
        <v>#REF!</v>
      </c>
      <c r="I3" s="457" t="e">
        <f>'ЗНАЧЕНИЕ ЦЕЛЕВЫХ ПОКАЗАТЕЛЕЙ'!#REF!</f>
        <v>#REF!</v>
      </c>
      <c r="J3" s="457" t="e">
        <f>'ЗНАЧЕНИЕ ЦЕЛЕВЫХ ПОКАЗАТЕЛЕЙ'!#REF!</f>
        <v>#REF!</v>
      </c>
      <c r="K3" s="457" t="e">
        <f>'ЗНАЧЕНИЕ ЦЕЛЕВЫХ ПОКАЗАТЕЛЕЙ'!#REF!</f>
        <v>#REF!</v>
      </c>
      <c r="L3" s="457" t="e">
        <f>'ЗНАЧЕНИЕ ЦЕЛЕВЫХ ПОКАЗАТЕЛЕЙ'!#REF!</f>
        <v>#REF!</v>
      </c>
      <c r="M3" s="457" t="e">
        <f>'ЗНАЧЕНИЕ ЦЕЛЕВЫХ ПОКАЗАТЕЛЕЙ'!#REF!</f>
        <v>#REF!</v>
      </c>
      <c r="N3" s="457" t="e">
        <f>'ЗНАЧЕНИЕ ЦЕЛЕВЫХ ПОКАЗАТЕЛЕЙ'!#REF!</f>
        <v>#REF!</v>
      </c>
    </row>
    <row r="4" spans="1:14" ht="89.25" customHeight="1">
      <c r="A4" s="217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57" t="e">
        <f>'ЗНАЧЕНИЕ ЦЕЛЕВЫХ ПОКАЗАТЕЛЕЙ'!#REF!</f>
        <v>#REF!</v>
      </c>
      <c r="C4" s="457" t="e">
        <f>'ЗНАЧЕНИЕ ЦЕЛЕВЫХ ПОКАЗАТЕЛЕЙ'!#REF!</f>
        <v>#REF!</v>
      </c>
      <c r="D4" s="457" t="e">
        <f>'ЗНАЧЕНИЕ ЦЕЛЕВЫХ ПОКАЗАТЕЛЕЙ'!#REF!</f>
        <v>#REF!</v>
      </c>
      <c r="E4" s="457" t="e">
        <f>'ЗНАЧЕНИЕ ЦЕЛЕВЫХ ПОКАЗАТЕЛЕЙ'!#REF!</f>
        <v>#REF!</v>
      </c>
      <c r="F4" s="457" t="e">
        <f>'ЗНАЧЕНИЕ ЦЕЛЕВЫХ ПОКАЗАТЕЛЕЙ'!#REF!</f>
        <v>#REF!</v>
      </c>
      <c r="G4" s="457" t="e">
        <f>'ЗНАЧЕНИЕ ЦЕЛЕВЫХ ПОКАЗАТЕЛЕЙ'!#REF!</f>
        <v>#REF!</v>
      </c>
      <c r="H4" s="457" t="e">
        <f>'ЗНАЧЕНИЕ ЦЕЛЕВЫХ ПОКАЗАТЕЛЕЙ'!#REF!</f>
        <v>#REF!</v>
      </c>
      <c r="I4" s="457" t="e">
        <f>'ЗНАЧЕНИЕ ЦЕЛЕВЫХ ПОКАЗАТЕЛЕЙ'!#REF!</f>
        <v>#REF!</v>
      </c>
      <c r="J4" s="457" t="e">
        <f>'ЗНАЧЕНИЕ ЦЕЛЕВЫХ ПОКАЗАТЕЛЕЙ'!#REF!</f>
        <v>#REF!</v>
      </c>
      <c r="K4" s="457" t="e">
        <f>'ЗНАЧЕНИЕ ЦЕЛЕВЫХ ПОКАЗАТЕЛЕЙ'!#REF!</f>
        <v>#REF!</v>
      </c>
      <c r="L4" s="457" t="e">
        <f>'ЗНАЧЕНИЕ ЦЕЛЕВЫХ ПОКАЗАТЕЛЕЙ'!#REF!</f>
        <v>#REF!</v>
      </c>
      <c r="M4" s="457" t="e">
        <f>'ЗНАЧЕНИЕ ЦЕЛЕВЫХ ПОКАЗАТЕЛЕЙ'!#REF!</f>
        <v>#REF!</v>
      </c>
      <c r="N4" s="457" t="e">
        <f>'ЗНАЧЕНИЕ ЦЕЛЕВЫХ ПОКАЗАТЕЛЕЙ'!#REF!</f>
        <v>#REF!</v>
      </c>
    </row>
    <row r="5" spans="1:14" ht="87" customHeight="1">
      <c r="A5" s="217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57" t="e">
        <f>'ЗНАЧЕНИЕ ЦЕЛЕВЫХ ПОКАЗАТЕЛЕЙ'!#REF!</f>
        <v>#REF!</v>
      </c>
      <c r="C5" s="457" t="e">
        <f>'ЗНАЧЕНИЕ ЦЕЛЕВЫХ ПОКАЗАТЕЛЕЙ'!#REF!</f>
        <v>#REF!</v>
      </c>
      <c r="D5" s="457" t="e">
        <f>'ЗНАЧЕНИЕ ЦЕЛЕВЫХ ПОКАЗАТЕЛЕЙ'!#REF!</f>
        <v>#REF!</v>
      </c>
      <c r="E5" s="457" t="e">
        <f>'ЗНАЧЕНИЕ ЦЕЛЕВЫХ ПОКАЗАТЕЛЕЙ'!#REF!</f>
        <v>#REF!</v>
      </c>
      <c r="F5" s="457" t="e">
        <f>'ЗНАЧЕНИЕ ЦЕЛЕВЫХ ПОКАЗАТЕЛЕЙ'!#REF!</f>
        <v>#REF!</v>
      </c>
      <c r="G5" s="457" t="e">
        <f>'ЗНАЧЕНИЕ ЦЕЛЕВЫХ ПОКАЗАТЕЛЕЙ'!#REF!</f>
        <v>#REF!</v>
      </c>
      <c r="H5" s="457" t="e">
        <f>'ЗНАЧЕНИЕ ЦЕЛЕВЫХ ПОКАЗАТЕЛЕЙ'!#REF!</f>
        <v>#REF!</v>
      </c>
      <c r="I5" s="457" t="e">
        <f>'ЗНАЧЕНИЕ ЦЕЛЕВЫХ ПОКАЗАТЕЛЕЙ'!#REF!</f>
        <v>#REF!</v>
      </c>
      <c r="J5" s="457" t="e">
        <f>'ЗНАЧЕНИЕ ЦЕЛЕВЫХ ПОКАЗАТЕЛЕЙ'!#REF!</f>
        <v>#REF!</v>
      </c>
      <c r="K5" s="457" t="e">
        <f>'ЗНАЧЕНИЕ ЦЕЛЕВЫХ ПОКАЗАТЕЛЕЙ'!#REF!</f>
        <v>#REF!</v>
      </c>
      <c r="L5" s="457" t="e">
        <f>'ЗНАЧЕНИЕ ЦЕЛЕВЫХ ПОКАЗАТЕЛЕЙ'!#REF!</f>
        <v>#REF!</v>
      </c>
      <c r="M5" s="457" t="e">
        <f>'ЗНАЧЕНИЕ ЦЕЛЕВЫХ ПОКАЗАТЕЛЕЙ'!#REF!</f>
        <v>#REF!</v>
      </c>
      <c r="N5" s="457" t="e">
        <f>'ЗНАЧЕНИЕ ЦЕЛЕВЫХ ПОКАЗАТЕЛЕЙ'!#REF!</f>
        <v>#REF!</v>
      </c>
    </row>
    <row r="6" spans="1:14" ht="114.75">
      <c r="A6" s="217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57" t="e">
        <f>'ЗНАЧЕНИЕ ЦЕЛЕВЫХ ПОКАЗАТЕЛЕЙ'!#REF!</f>
        <v>#REF!</v>
      </c>
      <c r="C6" s="457" t="e">
        <f>'ЗНАЧЕНИЕ ЦЕЛЕВЫХ ПОКАЗАТЕЛЕЙ'!#REF!</f>
        <v>#REF!</v>
      </c>
      <c r="D6" s="457" t="e">
        <f>'ЗНАЧЕНИЕ ЦЕЛЕВЫХ ПОКАЗАТЕЛЕЙ'!#REF!</f>
        <v>#REF!</v>
      </c>
      <c r="E6" s="457" t="e">
        <f>'ЗНАЧЕНИЕ ЦЕЛЕВЫХ ПОКАЗАТЕЛЕЙ'!#REF!</f>
        <v>#REF!</v>
      </c>
      <c r="F6" s="457" t="e">
        <f>'ЗНАЧЕНИЕ ЦЕЛЕВЫХ ПОКАЗАТЕЛЕЙ'!#REF!</f>
        <v>#REF!</v>
      </c>
      <c r="G6" s="457" t="e">
        <f>'ЗНАЧЕНИЕ ЦЕЛЕВЫХ ПОКАЗАТЕЛЕЙ'!#REF!</f>
        <v>#REF!</v>
      </c>
      <c r="H6" s="457" t="e">
        <f>'ЗНАЧЕНИЕ ЦЕЛЕВЫХ ПОКАЗАТЕЛЕЙ'!#REF!</f>
        <v>#REF!</v>
      </c>
      <c r="I6" s="457" t="e">
        <f>'ЗНАЧЕНИЕ ЦЕЛЕВЫХ ПОКАЗАТЕЛЕЙ'!#REF!</f>
        <v>#REF!</v>
      </c>
      <c r="J6" s="457" t="e">
        <f>'ЗНАЧЕНИЕ ЦЕЛЕВЫХ ПОКАЗАТЕЛЕЙ'!#REF!</f>
        <v>#REF!</v>
      </c>
      <c r="K6" s="457" t="e">
        <f>'ЗНАЧЕНИЕ ЦЕЛЕВЫХ ПОКАЗАТЕЛЕЙ'!#REF!</f>
        <v>#REF!</v>
      </c>
      <c r="L6" s="457" t="e">
        <f>'ЗНАЧЕНИЕ ЦЕЛЕВЫХ ПОКАЗАТЕЛЕЙ'!#REF!</f>
        <v>#REF!</v>
      </c>
      <c r="M6" s="457" t="e">
        <f>'ЗНАЧЕНИЕ ЦЕЛЕВЫХ ПОКАЗАТЕЛЕЙ'!#REF!</f>
        <v>#REF!</v>
      </c>
      <c r="N6" s="457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33" customHeight="1">
      <c r="A1" s="655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</row>
    <row r="2" spans="1:14" ht="12.75">
      <c r="A2" s="215" t="s">
        <v>398</v>
      </c>
      <c r="B2" s="452">
        <f>'расчет показат'!E4</f>
        <v>2007</v>
      </c>
      <c r="C2" s="452">
        <f>'расчет показат'!F4</f>
        <v>2008</v>
      </c>
      <c r="D2" s="452">
        <f>'расчет показат'!G4</f>
        <v>2009</v>
      </c>
      <c r="E2" s="452">
        <f>'расчет показат'!H4</f>
        <v>2010</v>
      </c>
      <c r="F2" s="452">
        <f>'расчет показат'!I4</f>
        <v>2011</v>
      </c>
      <c r="G2" s="452">
        <f>'расчет показат'!J4</f>
        <v>2012</v>
      </c>
      <c r="H2" s="452">
        <f>'расчет показат'!K4</f>
        <v>2013</v>
      </c>
      <c r="I2" s="452">
        <f>'расчет показат'!L4</f>
        <v>2014</v>
      </c>
      <c r="J2" s="452">
        <f>'расчет показат'!M4</f>
        <v>2015</v>
      </c>
      <c r="K2" s="452">
        <f>'расчет показат'!N4</f>
        <v>2016</v>
      </c>
      <c r="L2" s="452">
        <f>'расчет показат'!O4</f>
        <v>2017</v>
      </c>
      <c r="M2" s="452">
        <f>'расчет показат'!P4</f>
        <v>2018</v>
      </c>
      <c r="N2" s="452">
        <f>'расчет показат'!Q4</f>
        <v>2019</v>
      </c>
    </row>
    <row r="3" spans="1:14" ht="40.5" customHeight="1">
      <c r="A3" s="217" t="s">
        <v>400</v>
      </c>
      <c r="B3" s="453">
        <f>'расчет показат'!E16</f>
        <v>0</v>
      </c>
      <c r="C3" s="453">
        <f>'расчет показат'!F16</f>
        <v>0</v>
      </c>
      <c r="D3" s="453">
        <f>'расчет показат'!G16</f>
        <v>0</v>
      </c>
      <c r="E3" s="454" t="e">
        <f>'ЗНАЧЕНИЕ ЦЕЛЕВЫХ ПОКАЗАТЕЛЕЙ'!#REF!</f>
        <v>#REF!</v>
      </c>
      <c r="F3" s="454" t="e">
        <f>'ЗНАЧЕНИЕ ЦЕЛЕВЫХ ПОКАЗАТЕЛЕЙ'!#REF!</f>
        <v>#REF!</v>
      </c>
      <c r="G3" s="454" t="e">
        <f>'ЗНАЧЕНИЕ ЦЕЛЕВЫХ ПОКАЗАТЕЛЕЙ'!#REF!</f>
        <v>#REF!</v>
      </c>
      <c r="H3" s="454" t="e">
        <f>'ЗНАЧЕНИЕ ЦЕЛЕВЫХ ПОКАЗАТЕЛЕЙ'!#REF!</f>
        <v>#REF!</v>
      </c>
      <c r="I3" s="454" t="e">
        <f>'ЗНАЧЕНИЕ ЦЕЛЕВЫХ ПОКАЗАТЕЛЕЙ'!#REF!</f>
        <v>#REF!</v>
      </c>
      <c r="J3" s="454" t="e">
        <f>'ЗНАЧЕНИЕ ЦЕЛЕВЫХ ПОКАЗАТЕЛЕЙ'!#REF!</f>
        <v>#REF!</v>
      </c>
      <c r="K3" s="454" t="e">
        <f>'ЗНАЧЕНИЕ ЦЕЛЕВЫХ ПОКАЗАТЕЛЕЙ'!#REF!</f>
        <v>#REF!</v>
      </c>
      <c r="L3" s="454" t="e">
        <f>'ЗНАЧЕНИЕ ЦЕЛЕВЫХ ПОКАЗАТЕЛЕЙ'!#REF!</f>
        <v>#REF!</v>
      </c>
      <c r="M3" s="454" t="e">
        <f>'ЗНАЧЕНИЕ ЦЕЛЕВЫХ ПОКАЗАТЕЛЕЙ'!#REF!</f>
        <v>#REF!</v>
      </c>
      <c r="N3" s="454" t="e">
        <f>'ЗНАЧЕНИЕ ЦЕЛЕВЫХ ПОКАЗАТЕЛЕЙ'!#REF!</f>
        <v>#REF!</v>
      </c>
    </row>
    <row r="4" spans="1:14" ht="38.25">
      <c r="A4" s="217" t="s">
        <v>327</v>
      </c>
      <c r="B4" s="453">
        <f>'расчет показат'!E18</f>
        <v>0</v>
      </c>
      <c r="C4" s="453">
        <f>'расчет показат'!F18</f>
        <v>0</v>
      </c>
      <c r="D4" s="453">
        <f>'расчет показат'!G18</f>
        <v>0</v>
      </c>
      <c r="E4" s="454" t="e">
        <f>'ЗНАЧЕНИЕ ЦЕЛЕВЫХ ПОКАЗАТЕЛЕЙ'!#REF!</f>
        <v>#REF!</v>
      </c>
      <c r="F4" s="454" t="e">
        <f>'ЗНАЧЕНИЕ ЦЕЛЕВЫХ ПОКАЗАТЕЛЕЙ'!#REF!</f>
        <v>#REF!</v>
      </c>
      <c r="G4" s="454" t="e">
        <f>'ЗНАЧЕНИЕ ЦЕЛЕВЫХ ПОКАЗАТЕЛЕЙ'!#REF!</f>
        <v>#REF!</v>
      </c>
      <c r="H4" s="454" t="e">
        <f>'ЗНАЧЕНИЕ ЦЕЛЕВЫХ ПОКАЗАТЕЛЕЙ'!#REF!</f>
        <v>#REF!</v>
      </c>
      <c r="I4" s="454" t="e">
        <f>'ЗНАЧЕНИЕ ЦЕЛЕВЫХ ПОКАЗАТЕЛЕЙ'!#REF!</f>
        <v>#REF!</v>
      </c>
      <c r="J4" s="454" t="e">
        <f>'ЗНАЧЕНИЕ ЦЕЛЕВЫХ ПОКАЗАТЕЛЕЙ'!#REF!</f>
        <v>#REF!</v>
      </c>
      <c r="K4" s="454" t="e">
        <f>'ЗНАЧЕНИЕ ЦЕЛЕВЫХ ПОКАЗАТЕЛЕЙ'!#REF!</f>
        <v>#REF!</v>
      </c>
      <c r="L4" s="454" t="e">
        <f>'ЗНАЧЕНИЕ ЦЕЛЕВЫХ ПОКАЗАТЕЛЕЙ'!#REF!</f>
        <v>#REF!</v>
      </c>
      <c r="M4" s="454" t="e">
        <f>'ЗНАЧЕНИЕ ЦЕЛЕВЫХ ПОКАЗАТЕЛЕЙ'!#REF!</f>
        <v>#REF!</v>
      </c>
      <c r="N4" s="454" t="e">
        <f>'ЗНАЧЕНИЕ ЦЕЛЕВЫХ ПОКАЗАТЕЛЕЙ'!#REF!</f>
        <v>#REF!</v>
      </c>
    </row>
    <row r="5" spans="1:14" ht="38.25">
      <c r="A5" s="217" t="s">
        <v>326</v>
      </c>
      <c r="B5" s="453">
        <f>'расчет показат'!E20</f>
        <v>0</v>
      </c>
      <c r="C5" s="453">
        <f>'расчет показат'!F20</f>
        <v>0</v>
      </c>
      <c r="D5" s="453">
        <f>'расчет показат'!G20</f>
        <v>0</v>
      </c>
      <c r="E5" s="454" t="e">
        <f>'ЗНАЧЕНИЕ ЦЕЛЕВЫХ ПОКАЗАТЕЛЕЙ'!#REF!</f>
        <v>#REF!</v>
      </c>
      <c r="F5" s="454" t="e">
        <f>'ЗНАЧЕНИЕ ЦЕЛЕВЫХ ПОКАЗАТЕЛЕЙ'!#REF!</f>
        <v>#REF!</v>
      </c>
      <c r="G5" s="454" t="e">
        <f>'ЗНАЧЕНИЕ ЦЕЛЕВЫХ ПОКАЗАТЕЛЕЙ'!#REF!</f>
        <v>#REF!</v>
      </c>
      <c r="H5" s="454" t="e">
        <f>'ЗНАЧЕНИЕ ЦЕЛЕВЫХ ПОКАЗАТЕЛЕЙ'!#REF!</f>
        <v>#REF!</v>
      </c>
      <c r="I5" s="454" t="e">
        <f>'ЗНАЧЕНИЕ ЦЕЛЕВЫХ ПОКАЗАТЕЛЕЙ'!#REF!</f>
        <v>#REF!</v>
      </c>
      <c r="J5" s="454" t="e">
        <f>'ЗНАЧЕНИЕ ЦЕЛЕВЫХ ПОКАЗАТЕЛЕЙ'!#REF!</f>
        <v>#REF!</v>
      </c>
      <c r="K5" s="454" t="e">
        <f>'ЗНАЧЕНИЕ ЦЕЛЕВЫХ ПОКАЗАТЕЛЕЙ'!#REF!</f>
        <v>#REF!</v>
      </c>
      <c r="L5" s="454" t="e">
        <f>'ЗНАЧЕНИЕ ЦЕЛЕВЫХ ПОКАЗАТЕЛЕЙ'!#REF!</f>
        <v>#REF!</v>
      </c>
      <c r="M5" s="454" t="e">
        <f>'ЗНАЧЕНИЕ ЦЕЛЕВЫХ ПОКАЗАТЕЛЕЙ'!#REF!</f>
        <v>#REF!</v>
      </c>
      <c r="N5" s="454" t="e">
        <f>'ЗНАЧЕНИЕ ЦЕЛЕВЫХ ПОКАЗАТЕЛЕЙ'!#REF!</f>
        <v>#REF!</v>
      </c>
    </row>
    <row r="6" spans="1:14" ht="38.25">
      <c r="A6" s="217" t="s">
        <v>399</v>
      </c>
      <c r="B6" s="453">
        <f>'расчет показат'!E22</f>
        <v>0</v>
      </c>
      <c r="C6" s="453">
        <f>'расчет показат'!F22</f>
        <v>0</v>
      </c>
      <c r="D6" s="453">
        <f>'расчет показат'!G22</f>
        <v>0</v>
      </c>
      <c r="E6" s="453" t="e">
        <f>'ЗНАЧЕНИЕ ЦЕЛЕВЫХ ПОКАЗАТЕЛЕЙ'!#REF!</f>
        <v>#REF!</v>
      </c>
      <c r="F6" s="453" t="e">
        <f>'ЗНАЧЕНИЕ ЦЕЛЕВЫХ ПОКАЗАТЕЛЕЙ'!#REF!</f>
        <v>#REF!</v>
      </c>
      <c r="G6" s="453" t="e">
        <f>'ЗНАЧЕНИЕ ЦЕЛЕВЫХ ПОКАЗАТЕЛЕЙ'!#REF!</f>
        <v>#REF!</v>
      </c>
      <c r="H6" s="453" t="e">
        <f>'ЗНАЧЕНИЕ ЦЕЛЕВЫХ ПОКАЗАТЕЛЕЙ'!#REF!</f>
        <v>#REF!</v>
      </c>
      <c r="I6" s="453" t="e">
        <f>'ЗНАЧЕНИЕ ЦЕЛЕВЫХ ПОКАЗАТЕЛЕЙ'!#REF!</f>
        <v>#REF!</v>
      </c>
      <c r="J6" s="453" t="e">
        <f>'ЗНАЧЕНИЕ ЦЕЛЕВЫХ ПОКАЗАТЕЛЕЙ'!#REF!</f>
        <v>#REF!</v>
      </c>
      <c r="K6" s="453" t="e">
        <f>'ЗНАЧЕНИЕ ЦЕЛЕВЫХ ПОКАЗАТЕЛЕЙ'!#REF!</f>
        <v>#REF!</v>
      </c>
      <c r="L6" s="453" t="e">
        <f>'ЗНАЧЕНИЕ ЦЕЛЕВЫХ ПОКАЗАТЕЛЕЙ'!#REF!</f>
        <v>#REF!</v>
      </c>
      <c r="M6" s="453" t="e">
        <f>'ЗНАЧЕНИЕ ЦЕЛЕВЫХ ПОКАЗАТЕЛЕЙ'!#REF!</f>
        <v>#REF!</v>
      </c>
      <c r="N6" s="453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0" customWidth="1"/>
    <col min="2" max="2" width="9.140625" style="220" customWidth="1"/>
    <col min="3" max="3" width="15.140625" style="220" customWidth="1"/>
    <col min="4" max="16384" width="9.140625" style="220" customWidth="1"/>
  </cols>
  <sheetData>
    <row r="1" spans="1:14" ht="15.75">
      <c r="A1" s="219"/>
      <c r="B1" s="455">
        <f>'расчет показат'!E4</f>
        <v>2007</v>
      </c>
      <c r="C1" s="455">
        <f>'расчет показат'!F4</f>
        <v>2008</v>
      </c>
      <c r="D1" s="455">
        <f>'расчет показат'!G4</f>
        <v>2009</v>
      </c>
      <c r="E1" s="455">
        <f>'расчет показат'!H4</f>
        <v>2010</v>
      </c>
      <c r="F1" s="455">
        <f>'расчет показат'!I4</f>
        <v>2011</v>
      </c>
      <c r="G1" s="455">
        <f>'расчет показат'!J4</f>
        <v>2012</v>
      </c>
      <c r="H1" s="455">
        <f>'расчет показат'!K4</f>
        <v>2013</v>
      </c>
      <c r="I1" s="455">
        <f>'расчет показат'!L4</f>
        <v>2014</v>
      </c>
      <c r="J1" s="455">
        <f>'расчет показат'!M4</f>
        <v>2015</v>
      </c>
      <c r="K1" s="455">
        <f>'расчет показат'!N4</f>
        <v>2016</v>
      </c>
      <c r="L1" s="455">
        <f>'расчет показат'!O4</f>
        <v>2017</v>
      </c>
      <c r="M1" s="455">
        <f>'расчет показат'!P4</f>
        <v>2018</v>
      </c>
      <c r="N1" s="455">
        <f>'расчет показат'!Q4</f>
        <v>2019</v>
      </c>
    </row>
    <row r="2" spans="1:14" ht="62.25" customHeight="1">
      <c r="A2" s="221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56" t="e">
        <f>'ЗНАЧЕНИЕ ЦЕЛЕВЫХ ПОКАЗАТЕЛЕЙ'!#REF!</f>
        <v>#REF!</v>
      </c>
      <c r="C2" s="456">
        <f>'ЗНАЧЕНИЕ ЦЕЛЕВЫХ ПОКАЗАТЕЛЕЙ'!G11</f>
        <v>95.5</v>
      </c>
      <c r="D2" s="456">
        <f>'ЗНАЧЕНИЕ ЦЕЛЕВЫХ ПОКАЗАТЕЛЕЙ'!H11</f>
        <v>88</v>
      </c>
      <c r="E2" s="456" t="e">
        <f>'ЗНАЧЕНИЕ ЦЕЛЕВЫХ ПОКАЗАТЕЛЕЙ'!#REF!</f>
        <v>#REF!</v>
      </c>
      <c r="F2" s="456" t="e">
        <f>'ЗНАЧЕНИЕ ЦЕЛЕВЫХ ПОКАЗАТЕЛЕЙ'!#REF!</f>
        <v>#REF!</v>
      </c>
      <c r="G2" s="456" t="e">
        <f>'ЗНАЧЕНИЕ ЦЕЛЕВЫХ ПОКАЗАТЕЛЕЙ'!#REF!</f>
        <v>#REF!</v>
      </c>
      <c r="H2" s="456" t="e">
        <f>'ЗНАЧЕНИЕ ЦЕЛЕВЫХ ПОКАЗАТЕЛЕЙ'!#REF!</f>
        <v>#REF!</v>
      </c>
      <c r="I2" s="456" t="e">
        <f>'ЗНАЧЕНИЕ ЦЕЛЕВЫХ ПОКАЗАТЕЛЕЙ'!#REF!</f>
        <v>#REF!</v>
      </c>
      <c r="J2" s="456" t="e">
        <f>'ЗНАЧЕНИЕ ЦЕЛЕВЫХ ПОКАЗАТЕЛЕЙ'!#REF!</f>
        <v>#REF!</v>
      </c>
      <c r="K2" s="456" t="e">
        <f>'ЗНАЧЕНИЕ ЦЕЛЕВЫХ ПОКАЗАТЕЛЕЙ'!#REF!</f>
        <v>#REF!</v>
      </c>
      <c r="L2" s="456" t="e">
        <f>'ЗНАЧЕНИЕ ЦЕЛЕВЫХ ПОКАЗАТЕЛЕЙ'!#REF!</f>
        <v>#REF!</v>
      </c>
      <c r="M2" s="456" t="e">
        <f>'ЗНАЧЕНИЕ ЦЕЛЕВЫХ ПОКАЗАТЕЛЕЙ'!#REF!</f>
        <v>#REF!</v>
      </c>
      <c r="N2" s="456" t="e">
        <f>'ЗНАЧЕНИЕ ЦЕЛЕВЫХ ПОКАЗАТЕЛЕЙ'!#REF!</f>
        <v>#REF!</v>
      </c>
    </row>
    <row r="3" spans="1:14" ht="65.25" customHeight="1">
      <c r="A3" s="221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56" t="e">
        <f>'ЗНАЧЕНИЕ ЦЕЛЕВЫХ ПОКАЗАТЕЛЕЙ'!#REF!</f>
        <v>#REF!</v>
      </c>
      <c r="C3" s="456">
        <f>'ЗНАЧЕНИЕ ЦЕЛЕВЫХ ПОКАЗАТЕЛЕЙ'!G12</f>
        <v>86.3</v>
      </c>
      <c r="D3" s="456">
        <f>'ЗНАЧЕНИЕ ЦЕЛЕВЫХ ПОКАЗАТЕЛЕЙ'!H12</f>
        <v>90.7</v>
      </c>
      <c r="E3" s="456" t="e">
        <f>'ЗНАЧЕНИЕ ЦЕЛЕВЫХ ПОКАЗАТЕЛЕЙ'!#REF!</f>
        <v>#REF!</v>
      </c>
      <c r="F3" s="456" t="e">
        <f>'ЗНАЧЕНИЕ ЦЕЛЕВЫХ ПОКАЗАТЕЛЕЙ'!#REF!</f>
        <v>#REF!</v>
      </c>
      <c r="G3" s="456" t="e">
        <f>'ЗНАЧЕНИЕ ЦЕЛЕВЫХ ПОКАЗАТЕЛЕЙ'!#REF!</f>
        <v>#REF!</v>
      </c>
      <c r="H3" s="456" t="e">
        <f>'ЗНАЧЕНИЕ ЦЕЛЕВЫХ ПОКАЗАТЕЛЕЙ'!#REF!</f>
        <v>#REF!</v>
      </c>
      <c r="I3" s="456" t="e">
        <f>'ЗНАЧЕНИЕ ЦЕЛЕВЫХ ПОКАЗАТЕЛЕЙ'!#REF!</f>
        <v>#REF!</v>
      </c>
      <c r="J3" s="456" t="e">
        <f>'ЗНАЧЕНИЕ ЦЕЛЕВЫХ ПОКАЗАТЕЛЕЙ'!#REF!</f>
        <v>#REF!</v>
      </c>
      <c r="K3" s="456" t="e">
        <f>'ЗНАЧЕНИЕ ЦЕЛЕВЫХ ПОКАЗАТЕЛЕЙ'!#REF!</f>
        <v>#REF!</v>
      </c>
      <c r="L3" s="456" t="e">
        <f>'ЗНАЧЕНИЕ ЦЕЛЕВЫХ ПОКАЗАТЕЛЕЙ'!#REF!</f>
        <v>#REF!</v>
      </c>
      <c r="M3" s="456" t="e">
        <f>'ЗНАЧЕНИЕ ЦЕЛЕВЫХ ПОКАЗАТЕЛЕЙ'!#REF!</f>
        <v>#REF!</v>
      </c>
      <c r="N3" s="456" t="e">
        <f>'ЗНАЧЕНИЕ ЦЕЛЕВЫХ ПОКАЗАТЕЛЕЙ'!#REF!</f>
        <v>#REF!</v>
      </c>
    </row>
    <row r="4" spans="1:14" ht="64.5" customHeight="1">
      <c r="A4" s="221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56" t="e">
        <f>'ЗНАЧЕНИЕ ЦЕЛЕВЫХ ПОКАЗАТЕЛЕЙ'!#REF!</f>
        <v>#REF!</v>
      </c>
      <c r="C4" s="456" t="e">
        <f>'ЗНАЧЕНИЕ ЦЕЛЕВЫХ ПОКАЗАТЕЛЕЙ'!#REF!</f>
        <v>#REF!</v>
      </c>
      <c r="D4" s="456" t="e">
        <f>'ЗНАЧЕНИЕ ЦЕЛЕВЫХ ПОКАЗАТЕЛЕЙ'!#REF!</f>
        <v>#REF!</v>
      </c>
      <c r="E4" s="456" t="e">
        <f>'ЗНАЧЕНИЕ ЦЕЛЕВЫХ ПОКАЗАТЕЛЕЙ'!#REF!</f>
        <v>#REF!</v>
      </c>
      <c r="F4" s="456" t="e">
        <f>'ЗНАЧЕНИЕ ЦЕЛЕВЫХ ПОКАЗАТЕЛЕЙ'!#REF!</f>
        <v>#REF!</v>
      </c>
      <c r="G4" s="456" t="e">
        <f>'ЗНАЧЕНИЕ ЦЕЛЕВЫХ ПОКАЗАТЕЛЕЙ'!#REF!</f>
        <v>#REF!</v>
      </c>
      <c r="H4" s="456" t="e">
        <f>'ЗНАЧЕНИЕ ЦЕЛЕВЫХ ПОКАЗАТЕЛЕЙ'!#REF!</f>
        <v>#REF!</v>
      </c>
      <c r="I4" s="456" t="e">
        <f>'ЗНАЧЕНИЕ ЦЕЛЕВЫХ ПОКАЗАТЕЛЕЙ'!#REF!</f>
        <v>#REF!</v>
      </c>
      <c r="J4" s="456" t="e">
        <f>'ЗНАЧЕНИЕ ЦЕЛЕВЫХ ПОКАЗАТЕЛЕЙ'!#REF!</f>
        <v>#REF!</v>
      </c>
      <c r="K4" s="456" t="e">
        <f>'ЗНАЧЕНИЕ ЦЕЛЕВЫХ ПОКАЗАТЕЛЕЙ'!#REF!</f>
        <v>#REF!</v>
      </c>
      <c r="L4" s="456" t="e">
        <f>'ЗНАЧЕНИЕ ЦЕЛЕВЫХ ПОКАЗАТЕЛЕЙ'!#REF!</f>
        <v>#REF!</v>
      </c>
      <c r="M4" s="456" t="e">
        <f>'ЗНАЧЕНИЕ ЦЕЛЕВЫХ ПОКАЗАТЕЛЕЙ'!#REF!</f>
        <v>#REF!</v>
      </c>
      <c r="N4" s="456" t="e">
        <f>'ЗНАЧЕНИЕ ЦЕЛЕВЫХ ПОКАЗАТЕЛЕЙ'!#REF!</f>
        <v>#REF!</v>
      </c>
    </row>
    <row r="5" spans="1:14" ht="79.5" customHeight="1">
      <c r="A5" s="221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56" t="e">
        <f>'ЗНАЧЕНИЕ ЦЕЛЕВЫХ ПОКАЗАТЕЛЕЙ'!#REF!</f>
        <v>#REF!</v>
      </c>
      <c r="C5" s="456" t="e">
        <f>'ЗНАЧЕНИЕ ЦЕЛЕВЫХ ПОКАЗАТЕЛЕЙ'!#REF!</f>
        <v>#REF!</v>
      </c>
      <c r="D5" s="456" t="e">
        <f>'ЗНАЧЕНИЕ ЦЕЛЕВЫХ ПОКАЗАТЕЛЕЙ'!#REF!</f>
        <v>#REF!</v>
      </c>
      <c r="E5" s="456" t="e">
        <f>'ЗНАЧЕНИЕ ЦЕЛЕВЫХ ПОКАЗАТЕЛЕЙ'!#REF!</f>
        <v>#REF!</v>
      </c>
      <c r="F5" s="456" t="e">
        <f>'ЗНАЧЕНИЕ ЦЕЛЕВЫХ ПОКАЗАТЕЛЕЙ'!#REF!</f>
        <v>#REF!</v>
      </c>
      <c r="G5" s="456" t="e">
        <f>'ЗНАЧЕНИЕ ЦЕЛЕВЫХ ПОКАЗАТЕЛЕЙ'!#REF!</f>
        <v>#REF!</v>
      </c>
      <c r="H5" s="456" t="e">
        <f>'ЗНАЧЕНИЕ ЦЕЛЕВЫХ ПОКАЗАТЕЛЕЙ'!#REF!</f>
        <v>#REF!</v>
      </c>
      <c r="I5" s="456" t="e">
        <f>'ЗНАЧЕНИЕ ЦЕЛЕВЫХ ПОКАЗАТЕЛЕЙ'!#REF!</f>
        <v>#REF!</v>
      </c>
      <c r="J5" s="456" t="e">
        <f>'ЗНАЧЕНИЕ ЦЕЛЕВЫХ ПОКАЗАТЕЛЕЙ'!#REF!</f>
        <v>#REF!</v>
      </c>
      <c r="K5" s="456" t="e">
        <f>'ЗНАЧЕНИЕ ЦЕЛЕВЫХ ПОКАЗАТЕЛЕЙ'!#REF!</f>
        <v>#REF!</v>
      </c>
      <c r="L5" s="456" t="e">
        <f>'ЗНАЧЕНИЕ ЦЕЛЕВЫХ ПОКАЗАТЕЛЕЙ'!#REF!</f>
        <v>#REF!</v>
      </c>
      <c r="M5" s="456" t="e">
        <f>'ЗНАЧЕНИЕ ЦЕЛЕВЫХ ПОКАЗАТЕЛЕЙ'!#REF!</f>
        <v>#REF!</v>
      </c>
      <c r="N5" s="456" t="e">
        <f>'ЗНАЧЕНИЕ ЦЕЛЕВЫХ ПОКАЗАТЕЛЕЙ'!#REF!</f>
        <v>#REF!</v>
      </c>
    </row>
    <row r="26" ht="16.5" thickBot="1">
      <c r="D26" s="251" t="s">
        <v>0</v>
      </c>
    </row>
    <row r="27" spans="4:6" ht="15.75">
      <c r="D27" s="251" t="s">
        <v>1</v>
      </c>
      <c r="F27" s="248"/>
    </row>
    <row r="28" spans="4:6" ht="15.75">
      <c r="D28" s="251" t="s">
        <v>2</v>
      </c>
      <c r="F28" s="249"/>
    </row>
    <row r="29" spans="4:6" ht="16.5" thickBot="1">
      <c r="D29" s="251" t="s">
        <v>3</v>
      </c>
      <c r="F29" s="250"/>
    </row>
    <row r="35" ht="15.75">
      <c r="D35" s="251" t="s">
        <v>100</v>
      </c>
    </row>
    <row r="36" ht="15.75">
      <c r="D36" s="251" t="s">
        <v>103</v>
      </c>
    </row>
    <row r="41" ht="15.75">
      <c r="D41" s="255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6" customWidth="1"/>
    <col min="2" max="2" width="10.421875" style="216" customWidth="1"/>
    <col min="3" max="3" width="15.140625" style="216" customWidth="1"/>
    <col min="4" max="16384" width="9.140625" style="216" customWidth="1"/>
  </cols>
  <sheetData>
    <row r="1" spans="1:16" ht="12.75">
      <c r="A1" s="214" t="s">
        <v>490</v>
      </c>
      <c r="B1" s="214"/>
      <c r="C1" s="214"/>
      <c r="D1" s="215">
        <f>'расчет показат'!E4</f>
        <v>2007</v>
      </c>
      <c r="E1" s="215">
        <f>'расчет показат'!F4</f>
        <v>2008</v>
      </c>
      <c r="F1" s="215">
        <f>'расчет показат'!G4</f>
        <v>2009</v>
      </c>
      <c r="G1" s="215">
        <f>'расчет показат'!H4</f>
        <v>2010</v>
      </c>
      <c r="H1" s="215">
        <f>'расчет показат'!I4</f>
        <v>2011</v>
      </c>
      <c r="I1" s="215">
        <f>'расчет показат'!J4</f>
        <v>2012</v>
      </c>
      <c r="J1" s="215">
        <f>'расчет показат'!K4</f>
        <v>2013</v>
      </c>
      <c r="K1" s="215">
        <f>'расчет показат'!L4</f>
        <v>2014</v>
      </c>
      <c r="L1" s="215">
        <f>'расчет показат'!M4</f>
        <v>2015</v>
      </c>
      <c r="M1" s="215">
        <f>'расчет показат'!N4</f>
        <v>2016</v>
      </c>
      <c r="N1" s="215">
        <f>'расчет показат'!O4</f>
        <v>2017</v>
      </c>
      <c r="O1" s="215">
        <f>'расчет показат'!P4</f>
        <v>2018</v>
      </c>
      <c r="P1" s="215">
        <f>'расчет показат'!Q4</f>
        <v>2019</v>
      </c>
    </row>
    <row r="2" spans="1:16" ht="41.25" customHeight="1">
      <c r="A2" s="217" t="e">
        <f>#REF!</f>
        <v>#REF!</v>
      </c>
      <c r="B2" s="217" t="e">
        <f>#REF!</f>
        <v>#REF!</v>
      </c>
      <c r="C2" s="214"/>
      <c r="D2" s="218" t="e">
        <f>#REF!</f>
        <v>#REF!</v>
      </c>
      <c r="E2" s="218" t="e">
        <f>#REF!</f>
        <v>#REF!</v>
      </c>
      <c r="F2" s="218" t="e">
        <f>#REF!</f>
        <v>#REF!</v>
      </c>
      <c r="G2" s="218" t="e">
        <f>#REF!</f>
        <v>#REF!</v>
      </c>
      <c r="H2" s="218" t="e">
        <f>#REF!</f>
        <v>#REF!</v>
      </c>
      <c r="I2" s="218" t="e">
        <f>#REF!</f>
        <v>#REF!</v>
      </c>
      <c r="J2" s="218" t="e">
        <f>#REF!</f>
        <v>#REF!</v>
      </c>
      <c r="K2" s="218" t="e">
        <f>#REF!</f>
        <v>#REF!</v>
      </c>
      <c r="L2" s="218" t="e">
        <f>#REF!</f>
        <v>#REF!</v>
      </c>
      <c r="M2" s="218" t="e">
        <f>#REF!</f>
        <v>#REF!</v>
      </c>
      <c r="N2" s="218" t="e">
        <f>#REF!</f>
        <v>#REF!</v>
      </c>
      <c r="O2" s="218" t="e">
        <f>#REF!</f>
        <v>#REF!</v>
      </c>
      <c r="P2" s="218" t="e">
        <f>#REF!</f>
        <v>#REF!</v>
      </c>
    </row>
    <row r="3" spans="1:16" ht="38.25">
      <c r="A3" s="217" t="e">
        <f>#REF!</f>
        <v>#REF!</v>
      </c>
      <c r="B3" s="217" t="s">
        <v>491</v>
      </c>
      <c r="C3" s="214"/>
      <c r="D3" s="218" t="e">
        <f>#REF!</f>
        <v>#REF!</v>
      </c>
      <c r="E3" s="218" t="e">
        <f>#REF!</f>
        <v>#REF!</v>
      </c>
      <c r="F3" s="218" t="e">
        <f>#REF!</f>
        <v>#REF!</v>
      </c>
      <c r="G3" s="218" t="e">
        <f>#REF!</f>
        <v>#REF!</v>
      </c>
      <c r="H3" s="218" t="e">
        <f>#REF!</f>
        <v>#REF!</v>
      </c>
      <c r="I3" s="218" t="e">
        <f>#REF!</f>
        <v>#REF!</v>
      </c>
      <c r="J3" s="218" t="e">
        <f>#REF!</f>
        <v>#REF!</v>
      </c>
      <c r="K3" s="218" t="e">
        <f>#REF!</f>
        <v>#REF!</v>
      </c>
      <c r="L3" s="218" t="e">
        <f>#REF!</f>
        <v>#REF!</v>
      </c>
      <c r="M3" s="218" t="e">
        <f>#REF!</f>
        <v>#REF!</v>
      </c>
      <c r="N3" s="218" t="e">
        <f>#REF!</f>
        <v>#REF!</v>
      </c>
      <c r="O3" s="218" t="e">
        <f>#REF!</f>
        <v>#REF!</v>
      </c>
      <c r="P3" s="218" t="e">
        <f>#REF!</f>
        <v>#REF!</v>
      </c>
    </row>
    <row r="4" spans="1:16" ht="76.5">
      <c r="A4" s="217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4" t="str">
        <f>'расчет показат'!C8</f>
        <v>%</v>
      </c>
      <c r="C4" s="214"/>
      <c r="D4" s="218" t="e">
        <f>'ЗНАЧЕНИЕ ЦЕЛЕВЫХ ПОКАЗАТЕЛЕЙ'!#REF!</f>
        <v>#REF!</v>
      </c>
      <c r="E4" s="218">
        <f>'ЗНАЧЕНИЕ ЦЕЛЕВЫХ ПОКАЗАТЕЛЕЙ'!G10</f>
        <v>48.5</v>
      </c>
      <c r="F4" s="218">
        <f>'ЗНАЧЕНИЕ ЦЕЛЕВЫХ ПОКАЗАТЕЛЕЙ'!H10</f>
        <v>49.9</v>
      </c>
      <c r="G4" s="218" t="e">
        <f>'ЗНАЧЕНИЕ ЦЕЛЕВЫХ ПОКАЗАТЕЛЕЙ'!#REF!</f>
        <v>#REF!</v>
      </c>
      <c r="H4" s="218" t="e">
        <f>'ЗНАЧЕНИЕ ЦЕЛЕВЫХ ПОКАЗАТЕЛЕЙ'!#REF!</f>
        <v>#REF!</v>
      </c>
      <c r="I4" s="218" t="e">
        <f>'ЗНАЧЕНИЕ ЦЕЛЕВЫХ ПОКАЗАТЕЛЕЙ'!#REF!</f>
        <v>#REF!</v>
      </c>
      <c r="J4" s="218" t="e">
        <f>'ЗНАЧЕНИЕ ЦЕЛЕВЫХ ПОКАЗАТЕЛЕЙ'!#REF!</f>
        <v>#REF!</v>
      </c>
      <c r="K4" s="218" t="e">
        <f>'ЗНАЧЕНИЕ ЦЕЛЕВЫХ ПОКАЗАТЕЛЕЙ'!#REF!</f>
        <v>#REF!</v>
      </c>
      <c r="L4" s="218" t="e">
        <f>'ЗНАЧЕНИЕ ЦЕЛЕВЫХ ПОКАЗАТЕЛЕЙ'!#REF!</f>
        <v>#REF!</v>
      </c>
      <c r="M4" s="218" t="e">
        <f>'ЗНАЧЕНИЕ ЦЕЛЕВЫХ ПОКАЗАТЕЛЕЙ'!#REF!</f>
        <v>#REF!</v>
      </c>
      <c r="N4" s="218" t="e">
        <f>'ЗНАЧЕНИЕ ЦЕЛЕВЫХ ПОКАЗАТЕЛЕЙ'!#REF!</f>
        <v>#REF!</v>
      </c>
      <c r="O4" s="218" t="e">
        <f>'ЗНАЧЕНИЕ ЦЕЛЕВЫХ ПОКАЗАТЕЛЕЙ'!#REF!</f>
        <v>#REF!</v>
      </c>
      <c r="P4" s="21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665" t="s">
        <v>164</v>
      </c>
      <c r="B1" s="665"/>
      <c r="C1" s="665"/>
      <c r="D1" s="665"/>
      <c r="E1" s="665"/>
      <c r="F1" s="665"/>
      <c r="G1" s="665"/>
      <c r="H1" s="665"/>
      <c r="I1" s="665"/>
      <c r="J1" s="665"/>
    </row>
    <row r="2" spans="3:12" ht="15.75">
      <c r="C2" s="1"/>
      <c r="L2" t="s">
        <v>316</v>
      </c>
    </row>
    <row r="3" spans="3:12" ht="15.75">
      <c r="C3" s="1"/>
      <c r="L3" s="336" t="e">
        <f>L6/E19*100</f>
        <v>#REF!</v>
      </c>
    </row>
    <row r="4" ht="15.75">
      <c r="C4" s="1"/>
    </row>
    <row r="5" spans="3:17" ht="15.75">
      <c r="C5" s="1"/>
      <c r="G5" s="87" t="e">
        <f>M6/E19</f>
        <v>#REF!</v>
      </c>
      <c r="Q5" s="80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395" t="e">
        <f>SUM(Q7:Q16)</f>
        <v>#REF!</v>
      </c>
    </row>
    <row r="7" spans="3:17" ht="15.75">
      <c r="C7" s="1"/>
      <c r="G7" t="e">
        <f>L6/E19</f>
        <v>#REF!</v>
      </c>
      <c r="Q7" s="80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0"/>
      <c r="G13" s="80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2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7" t="e">
        <f>I185/1000</f>
        <v>#REF!</v>
      </c>
      <c r="J15" s="87" t="e">
        <f aca="true" t="shared" si="3" ref="J15:Q15">J185/1000</f>
        <v>#REF!</v>
      </c>
      <c r="K15" s="87" t="e">
        <f t="shared" si="3"/>
        <v>#REF!</v>
      </c>
      <c r="L15" s="87" t="e">
        <f t="shared" si="3"/>
        <v>#REF!</v>
      </c>
      <c r="M15" s="87" t="e">
        <f t="shared" si="3"/>
        <v>#REF!</v>
      </c>
      <c r="N15" s="87" t="e">
        <f t="shared" si="3"/>
        <v>#REF!</v>
      </c>
      <c r="O15" s="87" t="e">
        <f t="shared" si="3"/>
        <v>#REF!</v>
      </c>
      <c r="P15" s="87" t="e">
        <f t="shared" si="3"/>
        <v>#REF!</v>
      </c>
      <c r="Q15" s="87" t="e">
        <f t="shared" si="3"/>
        <v>#REF!</v>
      </c>
    </row>
    <row r="16" spans="2:17" ht="63.75" customHeight="1">
      <c r="B16" s="3"/>
      <c r="C16" s="4" t="s">
        <v>458</v>
      </c>
      <c r="D16" s="5" t="s">
        <v>461</v>
      </c>
      <c r="E16" s="656" t="s">
        <v>462</v>
      </c>
      <c r="F16" s="657"/>
      <c r="G16" s="657"/>
      <c r="H16" s="88" t="e">
        <f>E19-H19</f>
        <v>#REF!</v>
      </c>
      <c r="I16" s="88" t="e">
        <f>$H$16</f>
        <v>#REF!</v>
      </c>
      <c r="J16" s="88" t="e">
        <f>$H$16</f>
        <v>#REF!</v>
      </c>
      <c r="K16" s="88" t="e">
        <f aca="true" t="shared" si="4" ref="K16:Q16">$H$16</f>
        <v>#REF!</v>
      </c>
      <c r="L16" s="88" t="e">
        <f t="shared" si="4"/>
        <v>#REF!</v>
      </c>
      <c r="M16" s="88" t="e">
        <f t="shared" si="4"/>
        <v>#REF!</v>
      </c>
      <c r="N16" s="88" t="e">
        <f t="shared" si="4"/>
        <v>#REF!</v>
      </c>
      <c r="O16" s="88" t="e">
        <f t="shared" si="4"/>
        <v>#REF!</v>
      </c>
      <c r="P16" s="88" t="e">
        <f t="shared" si="4"/>
        <v>#REF!</v>
      </c>
      <c r="Q16" s="88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7" t="s">
        <v>463</v>
      </c>
      <c r="D18" s="11" t="s">
        <v>464</v>
      </c>
      <c r="E18" s="101" t="e">
        <f>#REF!</f>
        <v>#REF!</v>
      </c>
      <c r="F18" s="101" t="e">
        <f>E18</f>
        <v>#REF!</v>
      </c>
      <c r="G18" s="101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1" t="e">
        <f>R19/E19</f>
        <v>#REF!</v>
      </c>
    </row>
    <row r="19" spans="2:19" ht="32.25" thickBot="1">
      <c r="B19" s="10">
        <v>2</v>
      </c>
      <c r="C19" s="97" t="s">
        <v>465</v>
      </c>
      <c r="D19" s="11" t="s">
        <v>466</v>
      </c>
      <c r="E19" s="101" t="e">
        <f>#REF!</f>
        <v>#REF!</v>
      </c>
      <c r="F19" s="23" t="e">
        <f>F20*F18</f>
        <v>#REF!</v>
      </c>
      <c r="G19" s="23" t="e">
        <f>G20*G18</f>
        <v>#REF!</v>
      </c>
      <c r="H19" s="85" t="e">
        <f>H20*H18</f>
        <v>#REF!</v>
      </c>
      <c r="I19" s="85" t="e">
        <f>$E$19-I6</f>
        <v>#REF!</v>
      </c>
      <c r="J19" s="85" t="e">
        <f aca="true" t="shared" si="6" ref="J19:P19">$E$19-J6</f>
        <v>#REF!</v>
      </c>
      <c r="K19" s="85" t="e">
        <f t="shared" si="6"/>
        <v>#REF!</v>
      </c>
      <c r="L19" s="85" t="e">
        <f t="shared" si="6"/>
        <v>#REF!</v>
      </c>
      <c r="M19" s="85" t="e">
        <f t="shared" si="6"/>
        <v>#REF!</v>
      </c>
      <c r="N19" s="85" t="e">
        <f t="shared" si="6"/>
        <v>#REF!</v>
      </c>
      <c r="O19" s="85" t="e">
        <f t="shared" si="6"/>
        <v>#REF!</v>
      </c>
      <c r="P19" s="85" t="e">
        <f t="shared" si="6"/>
        <v>#REF!</v>
      </c>
      <c r="Q19" s="85" t="e">
        <f>R20*Q18</f>
        <v>#REF!</v>
      </c>
      <c r="R19" s="363" t="e">
        <f>E19-Q19</f>
        <v>#REF!</v>
      </c>
      <c r="S19" t="s">
        <v>456</v>
      </c>
    </row>
    <row r="20" spans="2:18" ht="16.5" thickBot="1">
      <c r="B20" s="10"/>
      <c r="C20" s="97" t="s">
        <v>377</v>
      </c>
      <c r="D20" s="11"/>
      <c r="E20" s="104" t="e">
        <f>#REF!</f>
        <v>#REF!</v>
      </c>
      <c r="F20" s="104" t="e">
        <f>#REF!</f>
        <v>#REF!</v>
      </c>
      <c r="G20" s="104" t="e">
        <f>#REF!</f>
        <v>#REF!</v>
      </c>
      <c r="H20" s="71" t="e">
        <f>E20*0.98</f>
        <v>#REF!</v>
      </c>
      <c r="I20" s="71" t="e">
        <f>I19/I18</f>
        <v>#REF!</v>
      </c>
      <c r="J20" s="85" t="e">
        <f aca="true" t="shared" si="7" ref="J20:Q20">J19/J18</f>
        <v>#REF!</v>
      </c>
      <c r="K20" s="85" t="e">
        <f t="shared" si="7"/>
        <v>#REF!</v>
      </c>
      <c r="L20" s="85" t="e">
        <f t="shared" si="7"/>
        <v>#REF!</v>
      </c>
      <c r="M20" s="85" t="e">
        <f t="shared" si="7"/>
        <v>#REF!</v>
      </c>
      <c r="N20" s="85" t="e">
        <f t="shared" si="7"/>
        <v>#REF!</v>
      </c>
      <c r="O20" s="85" t="e">
        <f t="shared" si="7"/>
        <v>#REF!</v>
      </c>
      <c r="P20" s="85" t="e">
        <f t="shared" si="7"/>
        <v>#REF!</v>
      </c>
      <c r="Q20" s="85" t="e">
        <f t="shared" si="7"/>
        <v>#REF!</v>
      </c>
      <c r="R20" s="89" t="e">
        <f>E20-(E20*0.4)</f>
        <v>#REF!</v>
      </c>
    </row>
    <row r="21" spans="2:18" ht="32.25" thickBot="1">
      <c r="B21" s="10">
        <v>3</v>
      </c>
      <c r="C21" s="97" t="s">
        <v>467</v>
      </c>
      <c r="D21" s="11" t="s">
        <v>468</v>
      </c>
      <c r="E21" s="101" t="e">
        <f>E22*E18*1000</f>
        <v>#REF!</v>
      </c>
      <c r="F21" s="12" t="e">
        <f>F22*F18*1000</f>
        <v>#REF!</v>
      </c>
      <c r="G21" s="12" t="e">
        <f>G22*G18*1000</f>
        <v>#REF!</v>
      </c>
      <c r="H21" s="85" t="e">
        <f>$E$21-H190</f>
        <v>#REF!</v>
      </c>
      <c r="I21" s="85" t="e">
        <f aca="true" t="shared" si="8" ref="I21:Q21">$E$21-I190</f>
        <v>#REF!</v>
      </c>
      <c r="J21" s="85" t="e">
        <f t="shared" si="8"/>
        <v>#REF!</v>
      </c>
      <c r="K21" s="85" t="e">
        <f t="shared" si="8"/>
        <v>#REF!</v>
      </c>
      <c r="L21" s="85" t="e">
        <f t="shared" si="8"/>
        <v>#REF!</v>
      </c>
      <c r="M21" s="85" t="e">
        <f t="shared" si="8"/>
        <v>#REF!</v>
      </c>
      <c r="N21" s="85" t="e">
        <f t="shared" si="8"/>
        <v>#REF!</v>
      </c>
      <c r="O21" s="85" t="e">
        <f t="shared" si="8"/>
        <v>#REF!</v>
      </c>
      <c r="P21" s="85" t="e">
        <f t="shared" si="8"/>
        <v>#REF!</v>
      </c>
      <c r="Q21" s="85" t="e">
        <f t="shared" si="8"/>
        <v>#REF!</v>
      </c>
      <c r="R21" s="89"/>
    </row>
    <row r="22" spans="2:18" ht="16.5" thickBot="1">
      <c r="B22" s="10"/>
      <c r="C22" s="97" t="s">
        <v>392</v>
      </c>
      <c r="D22" s="11"/>
      <c r="E22" s="103" t="e">
        <f>#REF!</f>
        <v>#REF!</v>
      </c>
      <c r="F22" s="103" t="e">
        <f>#REF!</f>
        <v>#REF!</v>
      </c>
      <c r="G22" s="103" t="e">
        <f>#REF!</f>
        <v>#REF!</v>
      </c>
      <c r="H22" s="105" t="e">
        <f>H21/H18/1000</f>
        <v>#REF!</v>
      </c>
      <c r="I22" s="105" t="e">
        <f aca="true" t="shared" si="9" ref="I22:Q22">I21/I18/1000</f>
        <v>#REF!</v>
      </c>
      <c r="J22" s="105" t="e">
        <f t="shared" si="9"/>
        <v>#REF!</v>
      </c>
      <c r="K22" s="105" t="e">
        <f t="shared" si="9"/>
        <v>#REF!</v>
      </c>
      <c r="L22" s="105" t="e">
        <f t="shared" si="9"/>
        <v>#REF!</v>
      </c>
      <c r="M22" s="105" t="e">
        <f t="shared" si="9"/>
        <v>#REF!</v>
      </c>
      <c r="N22" s="105" t="e">
        <f t="shared" si="9"/>
        <v>#REF!</v>
      </c>
      <c r="O22" s="105" t="e">
        <f t="shared" si="9"/>
        <v>#REF!</v>
      </c>
      <c r="P22" s="105" t="e">
        <f t="shared" si="9"/>
        <v>#REF!</v>
      </c>
      <c r="Q22" s="105" t="e">
        <f t="shared" si="9"/>
        <v>#REF!</v>
      </c>
      <c r="R22" s="106"/>
    </row>
    <row r="23" spans="2:17" ht="32.25" thickBot="1">
      <c r="B23" s="10">
        <v>4</v>
      </c>
      <c r="C23" s="97" t="s">
        <v>469</v>
      </c>
      <c r="D23" s="11" t="s">
        <v>470</v>
      </c>
      <c r="E23" s="102" t="e">
        <f>E24*E18</f>
        <v>#REF!</v>
      </c>
      <c r="F23" s="23" t="e">
        <f>F24*F18</f>
        <v>#REF!</v>
      </c>
      <c r="G23" s="23" t="e">
        <f>G24*G18</f>
        <v>#REF!</v>
      </c>
      <c r="H23" s="70" t="e">
        <f>$E$23-H200</f>
        <v>#REF!</v>
      </c>
      <c r="I23" s="70" t="e">
        <f>$E$23-I200</f>
        <v>#REF!</v>
      </c>
      <c r="J23" s="70" t="e">
        <f aca="true" t="shared" si="10" ref="J23:Q23">$E$23-J200</f>
        <v>#REF!</v>
      </c>
      <c r="K23" s="70" t="e">
        <f t="shared" si="10"/>
        <v>#REF!</v>
      </c>
      <c r="L23" s="70" t="e">
        <f t="shared" si="10"/>
        <v>#REF!</v>
      </c>
      <c r="M23" s="70" t="e">
        <f t="shared" si="10"/>
        <v>#REF!</v>
      </c>
      <c r="N23" s="70" t="e">
        <f t="shared" si="10"/>
        <v>#REF!</v>
      </c>
      <c r="O23" s="70" t="e">
        <f t="shared" si="10"/>
        <v>#REF!</v>
      </c>
      <c r="P23" s="70" t="e">
        <f t="shared" si="10"/>
        <v>#REF!</v>
      </c>
      <c r="Q23" s="70" t="e">
        <f t="shared" si="10"/>
        <v>#REF!</v>
      </c>
    </row>
    <row r="24" spans="2:17" ht="16.5" thickBot="1">
      <c r="B24" s="10"/>
      <c r="C24" s="97" t="s">
        <v>393</v>
      </c>
      <c r="D24" s="11"/>
      <c r="E24" s="102" t="e">
        <f>#REF!</f>
        <v>#REF!</v>
      </c>
      <c r="F24" s="102" t="e">
        <f>#REF!</f>
        <v>#REF!</v>
      </c>
      <c r="G24" s="102" t="e">
        <f>#REF!</f>
        <v>#REF!</v>
      </c>
      <c r="H24" s="85" t="e">
        <f>H23/H18</f>
        <v>#REF!</v>
      </c>
      <c r="I24" s="85" t="e">
        <f aca="true" t="shared" si="11" ref="I24:Q24">I23/I18</f>
        <v>#REF!</v>
      </c>
      <c r="J24" s="85" t="e">
        <f t="shared" si="11"/>
        <v>#REF!</v>
      </c>
      <c r="K24" s="85" t="e">
        <f t="shared" si="11"/>
        <v>#REF!</v>
      </c>
      <c r="L24" s="85" t="e">
        <f t="shared" si="11"/>
        <v>#REF!</v>
      </c>
      <c r="M24" s="85" t="e">
        <f t="shared" si="11"/>
        <v>#REF!</v>
      </c>
      <c r="N24" s="85" t="e">
        <f t="shared" si="11"/>
        <v>#REF!</v>
      </c>
      <c r="O24" s="85" t="e">
        <f t="shared" si="11"/>
        <v>#REF!</v>
      </c>
      <c r="P24" s="85" t="e">
        <f t="shared" si="11"/>
        <v>#REF!</v>
      </c>
      <c r="Q24" s="85" t="e">
        <f t="shared" si="11"/>
        <v>#REF!</v>
      </c>
    </row>
    <row r="25" spans="2:17" ht="32.25" thickBot="1">
      <c r="B25" s="10">
        <v>5</v>
      </c>
      <c r="C25" s="97" t="s">
        <v>471</v>
      </c>
      <c r="D25" s="11" t="s">
        <v>472</v>
      </c>
      <c r="E25" s="101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7" t="s">
        <v>394</v>
      </c>
      <c r="D26" s="252" t="s">
        <v>0</v>
      </c>
      <c r="E26" s="101" t="e">
        <f>#REF!</f>
        <v>#REF!</v>
      </c>
      <c r="F26" s="240" t="e">
        <f>#REF!</f>
        <v>#REF!</v>
      </c>
      <c r="G26" s="101" t="e">
        <f>#REF!</f>
        <v>#REF!</v>
      </c>
      <c r="H26" s="85" t="e">
        <f>H25/H18</f>
        <v>#REF!</v>
      </c>
      <c r="I26" s="85" t="e">
        <f aca="true" t="shared" si="13" ref="I26:Q26">I25/I18</f>
        <v>#REF!</v>
      </c>
      <c r="J26" s="85" t="e">
        <f t="shared" si="13"/>
        <v>#REF!</v>
      </c>
      <c r="K26" s="85" t="e">
        <f t="shared" si="13"/>
        <v>#REF!</v>
      </c>
      <c r="L26" s="85" t="e">
        <f t="shared" si="13"/>
        <v>#REF!</v>
      </c>
      <c r="M26" s="85" t="e">
        <f t="shared" si="13"/>
        <v>#REF!</v>
      </c>
      <c r="N26" s="85" t="e">
        <f t="shared" si="13"/>
        <v>#REF!</v>
      </c>
      <c r="O26" s="85" t="e">
        <f t="shared" si="13"/>
        <v>#REF!</v>
      </c>
      <c r="P26" s="85" t="e">
        <f t="shared" si="13"/>
        <v>#REF!</v>
      </c>
      <c r="Q26" s="85" t="e">
        <f t="shared" si="13"/>
        <v>#REF!</v>
      </c>
    </row>
    <row r="27" spans="2:17" ht="32.25" thickBot="1">
      <c r="B27" s="10">
        <v>6</v>
      </c>
      <c r="C27" s="97" t="s">
        <v>473</v>
      </c>
      <c r="D27" s="252" t="s">
        <v>1</v>
      </c>
      <c r="E27" s="236" t="e">
        <f>E28*E18*1000</f>
        <v>#REF!</v>
      </c>
      <c r="F27" s="242" t="e">
        <f>F28*F18*1000</f>
        <v>#REF!</v>
      </c>
      <c r="G27" s="12" t="e">
        <f>G28*G18*1000</f>
        <v>#REF!</v>
      </c>
      <c r="H27" s="85" t="e">
        <f>$E$27-H209</f>
        <v>#REF!</v>
      </c>
      <c r="I27" s="85" t="e">
        <f aca="true" t="shared" si="14" ref="I27:Q27">$E$27-I209</f>
        <v>#REF!</v>
      </c>
      <c r="J27" s="85" t="e">
        <f t="shared" si="14"/>
        <v>#REF!</v>
      </c>
      <c r="K27" s="85" t="e">
        <f t="shared" si="14"/>
        <v>#REF!</v>
      </c>
      <c r="L27" s="85" t="e">
        <f t="shared" si="14"/>
        <v>#REF!</v>
      </c>
      <c r="M27" s="85" t="e">
        <f t="shared" si="14"/>
        <v>#REF!</v>
      </c>
      <c r="N27" s="85" t="e">
        <f t="shared" si="14"/>
        <v>#REF!</v>
      </c>
      <c r="O27" s="85" t="e">
        <f t="shared" si="14"/>
        <v>#REF!</v>
      </c>
      <c r="P27" s="85" t="e">
        <f t="shared" si="14"/>
        <v>#REF!</v>
      </c>
      <c r="Q27" s="85" t="e">
        <f t="shared" si="14"/>
        <v>#REF!</v>
      </c>
    </row>
    <row r="28" spans="2:17" ht="16.5" thickBot="1">
      <c r="B28" s="10"/>
      <c r="C28" s="97" t="s">
        <v>395</v>
      </c>
      <c r="D28" s="252" t="s">
        <v>2</v>
      </c>
      <c r="E28" s="237" t="e">
        <f>#REF!</f>
        <v>#REF!</v>
      </c>
      <c r="F28" s="243" t="e">
        <f>#REF!</f>
        <v>#REF!</v>
      </c>
      <c r="G28" s="102" t="e">
        <f>#REF!</f>
        <v>#REF!</v>
      </c>
      <c r="H28" s="85" t="e">
        <f>H27/H18/1000</f>
        <v>#REF!</v>
      </c>
      <c r="I28" s="85" t="e">
        <f aca="true" t="shared" si="15" ref="I28:Q28">I27/I18/1000</f>
        <v>#REF!</v>
      </c>
      <c r="J28" s="85" t="e">
        <f t="shared" si="15"/>
        <v>#REF!</v>
      </c>
      <c r="K28" s="85" t="e">
        <f t="shared" si="15"/>
        <v>#REF!</v>
      </c>
      <c r="L28" s="85" t="e">
        <f t="shared" si="15"/>
        <v>#REF!</v>
      </c>
      <c r="M28" s="85" t="e">
        <f t="shared" si="15"/>
        <v>#REF!</v>
      </c>
      <c r="N28" s="85" t="e">
        <f t="shared" si="15"/>
        <v>#REF!</v>
      </c>
      <c r="O28" s="85" t="e">
        <f t="shared" si="15"/>
        <v>#REF!</v>
      </c>
      <c r="P28" s="85" t="e">
        <f t="shared" si="15"/>
        <v>#REF!</v>
      </c>
      <c r="Q28" s="85" t="e">
        <f t="shared" si="15"/>
        <v>#REF!</v>
      </c>
    </row>
    <row r="29" spans="2:17" ht="111" thickBot="1">
      <c r="B29" s="10">
        <v>7</v>
      </c>
      <c r="C29" s="97" t="s">
        <v>474</v>
      </c>
      <c r="D29" s="252" t="s">
        <v>3</v>
      </c>
      <c r="E29" s="238" t="e">
        <f>#REF!</f>
        <v>#REF!</v>
      </c>
      <c r="F29" s="244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5" t="e">
        <f>M21</f>
        <v>#REF!</v>
      </c>
      <c r="N29" s="85" t="e">
        <f>N21</f>
        <v>#REF!</v>
      </c>
      <c r="O29" s="85" t="e">
        <f>O21</f>
        <v>#REF!</v>
      </c>
      <c r="P29" s="85" t="e">
        <f>P21</f>
        <v>#REF!</v>
      </c>
      <c r="Q29" s="85" t="e">
        <f>Q21</f>
        <v>#REF!</v>
      </c>
    </row>
    <row r="30" spans="2:17" ht="111" thickBot="1">
      <c r="B30" s="10">
        <v>8</v>
      </c>
      <c r="C30" s="97" t="s">
        <v>475</v>
      </c>
      <c r="D30" s="11" t="s">
        <v>476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7" t="s">
        <v>477</v>
      </c>
      <c r="D31" s="11" t="s">
        <v>472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7" t="s">
        <v>478</v>
      </c>
      <c r="D32" s="11" t="s">
        <v>472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7" t="s">
        <v>479</v>
      </c>
      <c r="D33" s="11" t="s">
        <v>480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7" t="s">
        <v>481</v>
      </c>
      <c r="D34" s="11" t="s">
        <v>482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7" t="s">
        <v>483</v>
      </c>
      <c r="D35" s="252" t="s">
        <v>100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7" t="s">
        <v>484</v>
      </c>
      <c r="D36" s="252" t="s">
        <v>103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7" t="s">
        <v>485</v>
      </c>
      <c r="D37" s="11" t="s">
        <v>486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7" t="s">
        <v>487</v>
      </c>
      <c r="D38" s="11" t="s">
        <v>486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7" t="s">
        <v>488</v>
      </c>
      <c r="D39" s="11" t="s">
        <v>464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7" t="s">
        <v>489</v>
      </c>
      <c r="D40" s="11" t="s">
        <v>464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378</v>
      </c>
      <c r="D41" s="253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7" t="s">
        <v>492</v>
      </c>
      <c r="D42" s="11" t="s">
        <v>493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7" t="s">
        <v>494</v>
      </c>
      <c r="D43" s="11" t="s">
        <v>495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7" t="s">
        <v>496</v>
      </c>
      <c r="D44" s="11" t="s">
        <v>493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7" t="s">
        <v>497</v>
      </c>
      <c r="D45" s="15" t="s">
        <v>495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0" t="e">
        <f>#REF!</f>
        <v>#REF!</v>
      </c>
      <c r="I45" s="100" t="e">
        <f>#REF!</f>
        <v>#REF!</v>
      </c>
      <c r="J45" s="100" t="e">
        <f>#REF!</f>
        <v>#REF!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</row>
    <row r="46" spans="2:17" ht="57.75" customHeight="1" thickBot="1">
      <c r="B46" s="10"/>
      <c r="C46" s="11" t="s">
        <v>379</v>
      </c>
      <c r="D46" s="15" t="s">
        <v>499</v>
      </c>
      <c r="E46" s="99" t="e">
        <f>E47+E49</f>
        <v>#REF!</v>
      </c>
      <c r="F46" s="99" t="e">
        <f>F47+F49</f>
        <v>#REF!</v>
      </c>
      <c r="G46" s="99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7" t="s">
        <v>498</v>
      </c>
      <c r="D47" s="15" t="s">
        <v>499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7" t="s">
        <v>500</v>
      </c>
      <c r="D48" s="15" t="s">
        <v>501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7" t="s">
        <v>502</v>
      </c>
      <c r="D49" s="15" t="s">
        <v>499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7" t="s">
        <v>503</v>
      </c>
      <c r="D50" s="11" t="s">
        <v>501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380</v>
      </c>
      <c r="D51" s="11"/>
      <c r="E51" s="13" t="e">
        <f>E52+E54</f>
        <v>#REF!</v>
      </c>
      <c r="F51" s="13" t="e">
        <f>F52+F54</f>
        <v>#REF!</v>
      </c>
      <c r="G51" s="95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7" t="s">
        <v>504</v>
      </c>
      <c r="D52" s="27" t="s">
        <v>505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19">
        <v>28</v>
      </c>
      <c r="C53" s="97" t="s">
        <v>506</v>
      </c>
      <c r="D53" s="11" t="s">
        <v>501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7" t="s">
        <v>507</v>
      </c>
      <c r="D54" s="11" t="s">
        <v>505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19">
        <v>30</v>
      </c>
      <c r="C55" s="97" t="s">
        <v>508</v>
      </c>
      <c r="D55" s="11" t="s">
        <v>501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7" t="s">
        <v>509</v>
      </c>
      <c r="D56" s="11" t="s">
        <v>472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7" t="s">
        <v>510</v>
      </c>
      <c r="D57" s="11" t="s">
        <v>472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7" t="s">
        <v>511</v>
      </c>
      <c r="D58" s="11" t="s">
        <v>512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7" t="s">
        <v>513</v>
      </c>
      <c r="D59" s="11" t="s">
        <v>512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7" t="s">
        <v>514</v>
      </c>
      <c r="D60" s="11" t="s">
        <v>512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7" t="s">
        <v>515</v>
      </c>
      <c r="D61" s="11" t="s">
        <v>516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7" t="s">
        <v>517</v>
      </c>
      <c r="D62" s="11" t="s">
        <v>516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7" t="s">
        <v>518</v>
      </c>
      <c r="D63" s="11" t="s">
        <v>516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7" t="s">
        <v>519</v>
      </c>
      <c r="D64" s="11" t="s">
        <v>516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7" t="s">
        <v>520</v>
      </c>
      <c r="D65" s="11" t="s">
        <v>516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7" t="s">
        <v>521</v>
      </c>
      <c r="D66" s="11" t="s">
        <v>512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7" t="s">
        <v>522</v>
      </c>
      <c r="D67" s="11" t="s">
        <v>512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7" t="s">
        <v>523</v>
      </c>
      <c r="D68" s="11" t="s">
        <v>512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7" t="s">
        <v>524</v>
      </c>
      <c r="D69" s="11" t="s">
        <v>516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7" t="s">
        <v>525</v>
      </c>
      <c r="D70" s="11" t="s">
        <v>505</v>
      </c>
      <c r="E70" s="13" t="e">
        <f>#REF!</f>
        <v>#REF!</v>
      </c>
      <c r="F70" s="13" t="e">
        <f>#REF!</f>
        <v>#REF!</v>
      </c>
      <c r="G70" s="18" t="e">
        <f>#REF!</f>
        <v>#REF!</v>
      </c>
      <c r="H70" s="100" t="e">
        <f>G70*0.999</f>
        <v>#REF!</v>
      </c>
      <c r="I70" s="100" t="e">
        <f>H70*0.95*1.0024</f>
        <v>#REF!</v>
      </c>
      <c r="J70" s="100" t="e">
        <f>I70*0.98*1.0024</f>
        <v>#REF!</v>
      </c>
      <c r="K70" s="100" t="e">
        <f aca="true" t="shared" si="16" ref="K70:Q70">J70*0.987*1.0024</f>
        <v>#REF!</v>
      </c>
      <c r="L70" s="100" t="e">
        <f t="shared" si="16"/>
        <v>#REF!</v>
      </c>
      <c r="M70" s="100" t="e">
        <f t="shared" si="16"/>
        <v>#REF!</v>
      </c>
      <c r="N70" s="100" t="e">
        <f t="shared" si="16"/>
        <v>#REF!</v>
      </c>
      <c r="O70" s="100" t="e">
        <f t="shared" si="16"/>
        <v>#REF!</v>
      </c>
      <c r="P70" s="100" t="e">
        <f t="shared" si="16"/>
        <v>#REF!</v>
      </c>
      <c r="Q70" s="100" t="e">
        <f t="shared" si="16"/>
        <v>#REF!</v>
      </c>
    </row>
    <row r="71" spans="2:18" ht="126.75" thickBot="1">
      <c r="B71" s="10">
        <v>46</v>
      </c>
      <c r="C71" s="97" t="s">
        <v>526</v>
      </c>
      <c r="D71" s="11" t="s">
        <v>505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72</v>
      </c>
    </row>
    <row r="72" spans="2:17" ht="48" thickBot="1">
      <c r="B72" s="10">
        <v>47</v>
      </c>
      <c r="C72" s="97" t="s">
        <v>527</v>
      </c>
      <c r="D72" s="11" t="s">
        <v>505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7" t="s">
        <v>528</v>
      </c>
      <c r="D73" s="11" t="s">
        <v>505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7" t="s">
        <v>529</v>
      </c>
      <c r="D74" s="11" t="s">
        <v>505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19">
        <v>50</v>
      </c>
      <c r="C75" s="97" t="s">
        <v>530</v>
      </c>
      <c r="D75" s="11" t="s">
        <v>493</v>
      </c>
      <c r="E75" s="95" t="e">
        <f>#REF!</f>
        <v>#REF!</v>
      </c>
      <c r="F75" s="95" t="e">
        <f>#REF!</f>
        <v>#REF!</v>
      </c>
      <c r="G75" s="95" t="e">
        <f>#REF!</f>
        <v>#REF!</v>
      </c>
      <c r="H75" s="463">
        <f>553*0.99</f>
        <v>547.47</v>
      </c>
      <c r="I75" s="463">
        <f aca="true" t="shared" si="21" ref="I75:Q75">H75*0.99</f>
        <v>541.9953</v>
      </c>
      <c r="J75" s="463">
        <f t="shared" si="21"/>
        <v>536.5753470000001</v>
      </c>
      <c r="K75" s="463">
        <f t="shared" si="21"/>
        <v>531.2095935300001</v>
      </c>
      <c r="L75" s="463">
        <f t="shared" si="21"/>
        <v>525.8974975947001</v>
      </c>
      <c r="M75" s="463">
        <f t="shared" si="21"/>
        <v>520.6385226187531</v>
      </c>
      <c r="N75" s="463">
        <f t="shared" si="21"/>
        <v>515.4321373925656</v>
      </c>
      <c r="O75" s="463">
        <f t="shared" si="21"/>
        <v>510.2778160186399</v>
      </c>
      <c r="P75" s="463">
        <f t="shared" si="21"/>
        <v>505.1750378584535</v>
      </c>
      <c r="Q75" s="463">
        <f t="shared" si="21"/>
        <v>500.12328747986896</v>
      </c>
    </row>
    <row r="76" spans="2:17" ht="95.25" thickBot="1">
      <c r="B76" s="10">
        <v>51</v>
      </c>
      <c r="C76" s="97" t="s">
        <v>531</v>
      </c>
      <c r="D76" s="11" t="s">
        <v>493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462">
        <v>0</v>
      </c>
      <c r="I76" s="462">
        <f>I75*0.03</f>
        <v>16.259859000000002</v>
      </c>
      <c r="J76" s="462">
        <f>J75*0.1</f>
        <v>53.657534700000014</v>
      </c>
      <c r="K76" s="462">
        <f>K75*0.2</f>
        <v>106.24191870600004</v>
      </c>
      <c r="L76" s="462">
        <f>L75*0.65</f>
        <v>341.83337343655506</v>
      </c>
      <c r="M76" s="462">
        <f>M75</f>
        <v>520.6385226187531</v>
      </c>
      <c r="N76" s="462">
        <f>N75</f>
        <v>515.4321373925656</v>
      </c>
      <c r="O76" s="462">
        <f>O75</f>
        <v>510.2778160186399</v>
      </c>
      <c r="P76" s="462">
        <f>P75</f>
        <v>505.1750378584535</v>
      </c>
      <c r="Q76" s="462">
        <f>Q75</f>
        <v>500.12328747986896</v>
      </c>
    </row>
    <row r="77" spans="2:17" ht="52.5" customHeight="1" thickBot="1">
      <c r="B77" s="10">
        <v>52</v>
      </c>
      <c r="C77" s="97" t="s">
        <v>532</v>
      </c>
      <c r="D77" s="11" t="s">
        <v>493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58" t="e">
        <f>H133</f>
        <v>#REF!</v>
      </c>
      <c r="I77" s="158" t="e">
        <f>I133</f>
        <v>#REF!</v>
      </c>
      <c r="J77" s="158" t="e">
        <f>J133</f>
        <v>#REF!</v>
      </c>
      <c r="K77" s="158" t="e">
        <f aca="true" t="shared" si="22" ref="K77:Q77">K133</f>
        <v>#REF!</v>
      </c>
      <c r="L77" s="158" t="e">
        <f t="shared" si="22"/>
        <v>#REF!</v>
      </c>
      <c r="M77" s="158" t="e">
        <f t="shared" si="22"/>
        <v>#REF!</v>
      </c>
      <c r="N77" s="158" t="e">
        <f t="shared" si="22"/>
        <v>#REF!</v>
      </c>
      <c r="O77" s="158" t="e">
        <f t="shared" si="22"/>
        <v>#REF!</v>
      </c>
      <c r="P77" s="158" t="e">
        <f t="shared" si="22"/>
        <v>#REF!</v>
      </c>
      <c r="Q77" s="158" t="e">
        <f t="shared" si="22"/>
        <v>#REF!</v>
      </c>
    </row>
    <row r="78" spans="2:17" ht="126.75" thickBot="1">
      <c r="B78" s="10">
        <v>53</v>
      </c>
      <c r="C78" s="97" t="s">
        <v>533</v>
      </c>
      <c r="D78" s="11" t="s">
        <v>493</v>
      </c>
      <c r="E78" s="95" t="e">
        <f>#REF!</f>
        <v>#REF!</v>
      </c>
      <c r="F78" s="95" t="e">
        <f>#REF!</f>
        <v>#REF!</v>
      </c>
      <c r="G78" s="95" t="e">
        <f>#REF!</f>
        <v>#REF!</v>
      </c>
      <c r="H78" s="158" t="e">
        <f>H129</f>
        <v>#REF!</v>
      </c>
      <c r="I78" s="158" t="e">
        <f>I129</f>
        <v>#REF!</v>
      </c>
      <c r="J78" s="158" t="e">
        <f>J129</f>
        <v>#REF!</v>
      </c>
      <c r="K78" s="158" t="e">
        <f>K129</f>
        <v>#REF!</v>
      </c>
      <c r="L78" s="158" t="e">
        <f>L129</f>
        <v>#REF!</v>
      </c>
      <c r="M78" s="158" t="e">
        <f>M77</f>
        <v>#REF!</v>
      </c>
      <c r="N78" s="158" t="e">
        <f>N77</f>
        <v>#REF!</v>
      </c>
      <c r="O78" s="158" t="e">
        <f>O77</f>
        <v>#REF!</v>
      </c>
      <c r="P78" s="158" t="e">
        <f>P77</f>
        <v>#REF!</v>
      </c>
      <c r="Q78" s="158" t="e">
        <f>Q77</f>
        <v>#REF!</v>
      </c>
    </row>
    <row r="79" spans="2:17" ht="79.5" thickBot="1">
      <c r="B79" s="10">
        <v>54</v>
      </c>
      <c r="C79" s="97" t="s">
        <v>534</v>
      </c>
      <c r="D79" s="11" t="s">
        <v>535</v>
      </c>
      <c r="E79" s="95" t="e">
        <f>#REF!</f>
        <v>#REF!</v>
      </c>
      <c r="F79" s="95" t="e">
        <f>#REF!</f>
        <v>#REF!</v>
      </c>
      <c r="G79" s="95" t="e">
        <f>#REF!</f>
        <v>#REF!</v>
      </c>
      <c r="H79" s="164" t="e">
        <f>H172</f>
        <v>#REF!</v>
      </c>
      <c r="I79" s="164" t="e">
        <f aca="true" t="shared" si="23" ref="I79:Q79">I172</f>
        <v>#REF!</v>
      </c>
      <c r="J79" s="164" t="e">
        <f t="shared" si="23"/>
        <v>#REF!</v>
      </c>
      <c r="K79" s="164" t="e">
        <f t="shared" si="23"/>
        <v>#REF!</v>
      </c>
      <c r="L79" s="164" t="e">
        <f t="shared" si="23"/>
        <v>#REF!</v>
      </c>
      <c r="M79" s="164" t="e">
        <f t="shared" si="23"/>
        <v>#REF!</v>
      </c>
      <c r="N79" s="164" t="e">
        <f t="shared" si="23"/>
        <v>#REF!</v>
      </c>
      <c r="O79" s="164" t="e">
        <f t="shared" si="23"/>
        <v>#REF!</v>
      </c>
      <c r="P79" s="164" t="e">
        <f t="shared" si="23"/>
        <v>#REF!</v>
      </c>
      <c r="Q79" s="164" t="e">
        <f t="shared" si="23"/>
        <v>#REF!</v>
      </c>
    </row>
    <row r="80" spans="2:17" ht="126.75" thickBot="1">
      <c r="B80" s="10">
        <v>55</v>
      </c>
      <c r="C80" s="97" t="s">
        <v>537</v>
      </c>
      <c r="D80" s="11" t="s">
        <v>535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5" t="e">
        <f>H170</f>
        <v>#REF!</v>
      </c>
      <c r="I80" s="165" t="e">
        <f>I170</f>
        <v>#REF!</v>
      </c>
      <c r="J80" s="165" t="e">
        <f>J172</f>
        <v>#REF!</v>
      </c>
      <c r="K80" s="165" t="e">
        <f aca="true" t="shared" si="24" ref="K80:Q80">K172</f>
        <v>#REF!</v>
      </c>
      <c r="L80" s="165" t="e">
        <f t="shared" si="24"/>
        <v>#REF!</v>
      </c>
      <c r="M80" s="165" t="e">
        <f t="shared" si="24"/>
        <v>#REF!</v>
      </c>
      <c r="N80" s="165" t="e">
        <f t="shared" si="24"/>
        <v>#REF!</v>
      </c>
      <c r="O80" s="165" t="e">
        <f t="shared" si="24"/>
        <v>#REF!</v>
      </c>
      <c r="P80" s="165" t="e">
        <f t="shared" si="24"/>
        <v>#REF!</v>
      </c>
      <c r="Q80" s="165" t="e">
        <f t="shared" si="24"/>
        <v>#REF!</v>
      </c>
    </row>
    <row r="81" spans="2:17" ht="63.75" thickBot="1">
      <c r="B81" s="10">
        <v>56</v>
      </c>
      <c r="C81" s="97" t="s">
        <v>538</v>
      </c>
      <c r="D81" s="11" t="s">
        <v>535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5" t="e">
        <f>H176</f>
        <v>#REF!</v>
      </c>
      <c r="I81" s="165" t="e">
        <f>I176</f>
        <v>#REF!</v>
      </c>
      <c r="J81" s="165" t="e">
        <f aca="true" t="shared" si="25" ref="J81:Q81">J176</f>
        <v>#REF!</v>
      </c>
      <c r="K81" s="165" t="e">
        <f t="shared" si="25"/>
        <v>#REF!</v>
      </c>
      <c r="L81" s="165" t="e">
        <f t="shared" si="25"/>
        <v>#REF!</v>
      </c>
      <c r="M81" s="165" t="e">
        <f t="shared" si="25"/>
        <v>#REF!</v>
      </c>
      <c r="N81" s="165" t="e">
        <f t="shared" si="25"/>
        <v>#REF!</v>
      </c>
      <c r="O81" s="165" t="e">
        <f t="shared" si="25"/>
        <v>#REF!</v>
      </c>
      <c r="P81" s="165" t="e">
        <f t="shared" si="25"/>
        <v>#REF!</v>
      </c>
      <c r="Q81" s="165" t="e">
        <f t="shared" si="25"/>
        <v>#REF!</v>
      </c>
    </row>
    <row r="82" spans="2:17" ht="126.75" thickBot="1">
      <c r="B82" s="10">
        <v>57</v>
      </c>
      <c r="C82" s="97" t="s">
        <v>539</v>
      </c>
      <c r="D82" s="11" t="s">
        <v>535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5" t="e">
        <f>H174</f>
        <v>#REF!</v>
      </c>
      <c r="I82" s="165" t="e">
        <f>I174</f>
        <v>#REF!</v>
      </c>
      <c r="J82" s="165" t="e">
        <f>J176</f>
        <v>#REF!</v>
      </c>
      <c r="K82" s="165" t="e">
        <f aca="true" t="shared" si="26" ref="K82:Q82">K176</f>
        <v>#REF!</v>
      </c>
      <c r="L82" s="165" t="e">
        <f t="shared" si="26"/>
        <v>#REF!</v>
      </c>
      <c r="M82" s="165" t="e">
        <f t="shared" si="26"/>
        <v>#REF!</v>
      </c>
      <c r="N82" s="165" t="e">
        <f t="shared" si="26"/>
        <v>#REF!</v>
      </c>
      <c r="O82" s="165" t="e">
        <f t="shared" si="26"/>
        <v>#REF!</v>
      </c>
      <c r="P82" s="165" t="e">
        <f t="shared" si="26"/>
        <v>#REF!</v>
      </c>
      <c r="Q82" s="165" t="e">
        <f t="shared" si="26"/>
        <v>#REF!</v>
      </c>
    </row>
    <row r="83" spans="2:17" ht="142.5" thickBot="1">
      <c r="B83" s="10">
        <v>58</v>
      </c>
      <c r="C83" s="97" t="s">
        <v>544</v>
      </c>
      <c r="D83" s="11" t="s">
        <v>535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5" t="e">
        <f>G83*1.8</f>
        <v>#REF!</v>
      </c>
      <c r="I83" s="165" t="e">
        <f>H83*1.005</f>
        <v>#REF!</v>
      </c>
      <c r="J83" s="165" t="e">
        <f>I83*0.66</f>
        <v>#REF!</v>
      </c>
      <c r="K83" s="165" t="e">
        <f>J83*0.63</f>
        <v>#REF!</v>
      </c>
      <c r="L83" s="165" t="e">
        <f aca="true" t="shared" si="27" ref="L83:Q83">L81-L82</f>
        <v>#REF!</v>
      </c>
      <c r="M83" s="165" t="e">
        <f t="shared" si="27"/>
        <v>#REF!</v>
      </c>
      <c r="N83" s="165" t="e">
        <f t="shared" si="27"/>
        <v>#REF!</v>
      </c>
      <c r="O83" s="165" t="e">
        <f t="shared" si="27"/>
        <v>#REF!</v>
      </c>
      <c r="P83" s="165" t="e">
        <f t="shared" si="27"/>
        <v>#REF!</v>
      </c>
      <c r="Q83" s="165" t="e">
        <f t="shared" si="27"/>
        <v>#REF!</v>
      </c>
    </row>
    <row r="84" spans="2:17" ht="79.5" thickBot="1">
      <c r="B84" s="10">
        <v>59</v>
      </c>
      <c r="C84" s="97" t="s">
        <v>545</v>
      </c>
      <c r="D84" s="11" t="s">
        <v>546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0" t="e">
        <f>H147</f>
        <v>#REF!</v>
      </c>
      <c r="I84" s="180" t="e">
        <f aca="true" t="shared" si="28" ref="I84:Q84">I147</f>
        <v>#REF!</v>
      </c>
      <c r="J84" s="180" t="e">
        <f t="shared" si="28"/>
        <v>#REF!</v>
      </c>
      <c r="K84" s="180" t="e">
        <f t="shared" si="28"/>
        <v>#REF!</v>
      </c>
      <c r="L84" s="180" t="e">
        <f t="shared" si="28"/>
        <v>#REF!</v>
      </c>
      <c r="M84" s="180" t="e">
        <f t="shared" si="28"/>
        <v>#REF!</v>
      </c>
      <c r="N84" s="180" t="e">
        <f t="shared" si="28"/>
        <v>#REF!</v>
      </c>
      <c r="O84" s="180" t="e">
        <f t="shared" si="28"/>
        <v>#REF!</v>
      </c>
      <c r="P84" s="180" t="e">
        <f t="shared" si="28"/>
        <v>#REF!</v>
      </c>
      <c r="Q84" s="180" t="e">
        <f t="shared" si="28"/>
        <v>#REF!</v>
      </c>
    </row>
    <row r="85" spans="2:17" ht="126.75" thickBot="1">
      <c r="B85" s="10">
        <v>60</v>
      </c>
      <c r="C85" s="97" t="s">
        <v>547</v>
      </c>
      <c r="D85" s="11" t="s">
        <v>546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5" t="e">
        <f>H148</f>
        <v>#REF!</v>
      </c>
      <c r="I85" s="165" t="e">
        <f aca="true" t="shared" si="29" ref="I85:Q85">I148</f>
        <v>#REF!</v>
      </c>
      <c r="J85" s="165" t="e">
        <f t="shared" si="29"/>
        <v>#REF!</v>
      </c>
      <c r="K85" s="165" t="e">
        <f t="shared" si="29"/>
        <v>#REF!</v>
      </c>
      <c r="L85" s="165" t="e">
        <f t="shared" si="29"/>
        <v>#REF!</v>
      </c>
      <c r="M85" s="165" t="e">
        <f t="shared" si="29"/>
        <v>#REF!</v>
      </c>
      <c r="N85" s="165" t="e">
        <f t="shared" si="29"/>
        <v>#REF!</v>
      </c>
      <c r="O85" s="165" t="e">
        <f t="shared" si="29"/>
        <v>#REF!</v>
      </c>
      <c r="P85" s="165" t="e">
        <f t="shared" si="29"/>
        <v>#REF!</v>
      </c>
      <c r="Q85" s="165" t="e">
        <f t="shared" si="29"/>
        <v>#REF!</v>
      </c>
    </row>
    <row r="86" spans="2:17" ht="63.75" thickBot="1">
      <c r="B86" s="10">
        <v>61</v>
      </c>
      <c r="C86" s="97" t="s">
        <v>548</v>
      </c>
      <c r="D86" s="11" t="s">
        <v>546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79" t="e">
        <f>H160</f>
        <v>#REF!</v>
      </c>
      <c r="I86" s="179" t="e">
        <f aca="true" t="shared" si="30" ref="I86:Q86">I160</f>
        <v>#REF!</v>
      </c>
      <c r="J86" s="179" t="e">
        <f t="shared" si="30"/>
        <v>#REF!</v>
      </c>
      <c r="K86" s="179" t="e">
        <f t="shared" si="30"/>
        <v>#REF!</v>
      </c>
      <c r="L86" s="179" t="e">
        <f t="shared" si="30"/>
        <v>#REF!</v>
      </c>
      <c r="M86" s="179" t="e">
        <f t="shared" si="30"/>
        <v>#REF!</v>
      </c>
      <c r="N86" s="179" t="e">
        <f t="shared" si="30"/>
        <v>#REF!</v>
      </c>
      <c r="O86" s="179" t="e">
        <f t="shared" si="30"/>
        <v>#REF!</v>
      </c>
      <c r="P86" s="179" t="e">
        <f t="shared" si="30"/>
        <v>#REF!</v>
      </c>
      <c r="Q86" s="179" t="e">
        <f t="shared" si="30"/>
        <v>#REF!</v>
      </c>
    </row>
    <row r="87" spans="2:17" ht="158.25" thickBot="1">
      <c r="B87" s="10">
        <v>62</v>
      </c>
      <c r="C87" s="97" t="s">
        <v>549</v>
      </c>
      <c r="D87" s="11" t="s">
        <v>546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5" t="e">
        <f>H155</f>
        <v>#REF!</v>
      </c>
      <c r="I87" s="165" t="e">
        <f>I155</f>
        <v>#REF!</v>
      </c>
      <c r="J87" s="179" t="e">
        <f>J86</f>
        <v>#REF!</v>
      </c>
      <c r="K87" s="179" t="e">
        <f aca="true" t="shared" si="31" ref="K87:Q87">K86</f>
        <v>#REF!</v>
      </c>
      <c r="L87" s="179" t="e">
        <f t="shared" si="31"/>
        <v>#REF!</v>
      </c>
      <c r="M87" s="179" t="e">
        <f t="shared" si="31"/>
        <v>#REF!</v>
      </c>
      <c r="N87" s="179" t="e">
        <f t="shared" si="31"/>
        <v>#REF!</v>
      </c>
      <c r="O87" s="179" t="e">
        <f t="shared" si="31"/>
        <v>#REF!</v>
      </c>
      <c r="P87" s="179" t="e">
        <f t="shared" si="31"/>
        <v>#REF!</v>
      </c>
      <c r="Q87" s="179" t="e">
        <f t="shared" si="31"/>
        <v>#REF!</v>
      </c>
    </row>
    <row r="88" spans="2:17" ht="16.5" thickBot="1">
      <c r="B88" s="20">
        <v>63</v>
      </c>
      <c r="C88" s="97" t="s">
        <v>550</v>
      </c>
      <c r="D88" s="11" t="s">
        <v>516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7" t="s">
        <v>551</v>
      </c>
      <c r="D89" s="27" t="s">
        <v>516</v>
      </c>
      <c r="E89" s="347" t="e">
        <f>#REF!</f>
        <v>#REF!</v>
      </c>
      <c r="F89" s="347" t="e">
        <f>#REF!</f>
        <v>#REF!</v>
      </c>
      <c r="G89" s="347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391</v>
      </c>
    </row>
    <row r="90" spans="2:17" ht="142.5" thickBot="1">
      <c r="B90" s="21">
        <v>65</v>
      </c>
      <c r="C90" s="97" t="s">
        <v>552</v>
      </c>
      <c r="D90" s="11" t="s">
        <v>495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0">
        <v>66</v>
      </c>
      <c r="C91" s="97" t="s">
        <v>553</v>
      </c>
      <c r="D91" s="11" t="s">
        <v>495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7" t="s">
        <v>554</v>
      </c>
      <c r="D92" s="11" t="s">
        <v>495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0">
        <v>68</v>
      </c>
      <c r="C93" s="97" t="s">
        <v>555</v>
      </c>
      <c r="D93" s="11" t="s">
        <v>495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0">
        <v>69</v>
      </c>
      <c r="C94" s="97" t="s">
        <v>556</v>
      </c>
      <c r="D94" s="11" t="s">
        <v>495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7" t="s">
        <v>557</v>
      </c>
      <c r="D95" s="11" t="s">
        <v>495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7" t="s">
        <v>558</v>
      </c>
      <c r="D96" s="11" t="s">
        <v>495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7" t="s">
        <v>559</v>
      </c>
      <c r="D97" s="11" t="s">
        <v>495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7" t="s">
        <v>560</v>
      </c>
      <c r="D98" s="15" t="s">
        <v>561</v>
      </c>
      <c r="E98" s="100" t="e">
        <f>#REF!</f>
        <v>#REF!</v>
      </c>
      <c r="F98" s="100" t="e">
        <f>#REF!</f>
        <v>#REF!</v>
      </c>
      <c r="G98" s="100" t="e">
        <f>#REF!</f>
        <v>#REF!</v>
      </c>
      <c r="H98" s="98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7" t="s">
        <v>562</v>
      </c>
      <c r="D99" s="15" t="s">
        <v>563</v>
      </c>
      <c r="E99" s="100" t="e">
        <f>#REF!</f>
        <v>#REF!</v>
      </c>
      <c r="F99" s="100" t="e">
        <f>#REF!</f>
        <v>#REF!</v>
      </c>
      <c r="G99" s="100" t="e">
        <f>#REF!</f>
        <v>#REF!</v>
      </c>
      <c r="H99" s="98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7" t="s">
        <v>564</v>
      </c>
      <c r="D100" s="15" t="s">
        <v>505</v>
      </c>
      <c r="E100" s="100" t="e">
        <f>#REF!</f>
        <v>#REF!</v>
      </c>
      <c r="F100" s="100" t="e">
        <f>#REF!</f>
        <v>#REF!</v>
      </c>
      <c r="G100" s="100" t="e">
        <f>#REF!</f>
        <v>#REF!</v>
      </c>
      <c r="H100" s="98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7" t="s">
        <v>565</v>
      </c>
      <c r="D101" s="15" t="s">
        <v>566</v>
      </c>
      <c r="E101" s="100" t="e">
        <f>#REF!</f>
        <v>#REF!</v>
      </c>
      <c r="F101" s="100" t="e">
        <f>#REF!</f>
        <v>#REF!</v>
      </c>
      <c r="G101" s="100" t="e">
        <f>#REF!</f>
        <v>#REF!</v>
      </c>
      <c r="H101" s="98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7" t="s">
        <v>567</v>
      </c>
      <c r="D102" s="15" t="s">
        <v>535</v>
      </c>
      <c r="E102" s="100" t="e">
        <f>#REF!</f>
        <v>#REF!</v>
      </c>
      <c r="F102" s="100" t="e">
        <f>#REF!</f>
        <v>#REF!</v>
      </c>
      <c r="G102" s="100" t="e">
        <f>#REF!</f>
        <v>#REF!</v>
      </c>
      <c r="H102" s="98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7" t="s">
        <v>568</v>
      </c>
      <c r="D103" s="15" t="s">
        <v>505</v>
      </c>
      <c r="E103" s="100" t="e">
        <f>#REF!</f>
        <v>#REF!</v>
      </c>
      <c r="F103" s="100" t="e">
        <f>#REF!</f>
        <v>#REF!</v>
      </c>
      <c r="G103" s="100" t="e">
        <f>#REF!</f>
        <v>#REF!</v>
      </c>
      <c r="H103" s="98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7" t="s">
        <v>577</v>
      </c>
      <c r="D104" s="15" t="s">
        <v>516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98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7" t="s">
        <v>4</v>
      </c>
      <c r="D105" s="11" t="s">
        <v>516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4" t="s">
        <v>382</v>
      </c>
    </row>
    <row r="108" spans="3:17" ht="16.5" thickBot="1">
      <c r="C108" s="51" t="s">
        <v>381</v>
      </c>
      <c r="E108" s="26">
        <v>2007</v>
      </c>
      <c r="F108" s="26">
        <v>2008</v>
      </c>
      <c r="G108" s="26">
        <v>2009</v>
      </c>
      <c r="H108" s="26">
        <v>2010</v>
      </c>
      <c r="I108" s="26">
        <v>2011</v>
      </c>
      <c r="J108" s="26">
        <v>2012</v>
      </c>
      <c r="K108" s="26">
        <v>2013</v>
      </c>
      <c r="L108" s="26">
        <v>2014</v>
      </c>
      <c r="M108" s="26">
        <v>2015</v>
      </c>
      <c r="N108" s="26">
        <v>2016</v>
      </c>
      <c r="O108" s="26">
        <v>2017</v>
      </c>
      <c r="P108" s="26">
        <v>2018</v>
      </c>
      <c r="Q108" s="26">
        <v>2019</v>
      </c>
    </row>
    <row r="109" spans="2:17" ht="16.5" thickBot="1">
      <c r="B109" s="36"/>
      <c r="C109" s="47" t="s">
        <v>386</v>
      </c>
      <c r="D109" s="42" t="s">
        <v>493</v>
      </c>
      <c r="E109" s="52" t="e">
        <f>E41</f>
        <v>#REF!</v>
      </c>
      <c r="F109" s="52" t="e">
        <f aca="true" t="shared" si="33" ref="F109:Q109">F41</f>
        <v>#REF!</v>
      </c>
      <c r="G109" s="52" t="e">
        <f t="shared" si="33"/>
        <v>#REF!</v>
      </c>
      <c r="H109" s="52" t="e">
        <f t="shared" si="33"/>
        <v>#REF!</v>
      </c>
      <c r="I109" s="52" t="e">
        <f t="shared" si="33"/>
        <v>#REF!</v>
      </c>
      <c r="J109" s="52" t="e">
        <f t="shared" si="33"/>
        <v>#REF!</v>
      </c>
      <c r="K109" s="52" t="e">
        <f t="shared" si="33"/>
        <v>#REF!</v>
      </c>
      <c r="L109" s="52" t="e">
        <f t="shared" si="33"/>
        <v>#REF!</v>
      </c>
      <c r="M109" s="52" t="e">
        <f t="shared" si="33"/>
        <v>#REF!</v>
      </c>
      <c r="N109" s="52" t="e">
        <f t="shared" si="33"/>
        <v>#REF!</v>
      </c>
      <c r="O109" s="52" t="e">
        <f t="shared" si="33"/>
        <v>#REF!</v>
      </c>
      <c r="P109" s="53" t="e">
        <f t="shared" si="33"/>
        <v>#REF!</v>
      </c>
      <c r="Q109" s="54" t="e">
        <f t="shared" si="33"/>
        <v>#REF!</v>
      </c>
    </row>
    <row r="110" spans="2:17" ht="15.75">
      <c r="B110" s="37"/>
      <c r="C110" s="48" t="s">
        <v>383</v>
      </c>
      <c r="D110" s="43" t="s">
        <v>493</v>
      </c>
      <c r="E110" s="55"/>
      <c r="F110" s="55"/>
      <c r="G110" s="55"/>
      <c r="H110" s="55" t="e">
        <f>G109-H109</f>
        <v>#REF!</v>
      </c>
      <c r="I110" s="55" t="e">
        <f aca="true" t="shared" si="34" ref="I110:Q110">H109-I109</f>
        <v>#REF!</v>
      </c>
      <c r="J110" s="55" t="e">
        <f t="shared" si="34"/>
        <v>#REF!</v>
      </c>
      <c r="K110" s="55" t="e">
        <f t="shared" si="34"/>
        <v>#REF!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 t="e">
        <f t="shared" si="34"/>
        <v>#REF!</v>
      </c>
      <c r="P110" s="55" t="e">
        <f t="shared" si="34"/>
        <v>#REF!</v>
      </c>
      <c r="Q110" s="55" t="e">
        <f t="shared" si="34"/>
        <v>#REF!</v>
      </c>
    </row>
    <row r="111" spans="2:17" ht="16.5" thickBot="1">
      <c r="B111" s="38"/>
      <c r="C111" s="49" t="s">
        <v>385</v>
      </c>
      <c r="D111" s="44" t="s">
        <v>486</v>
      </c>
      <c r="E111" s="35"/>
      <c r="F111" s="35"/>
      <c r="G111" s="35"/>
      <c r="H111" s="96" t="e">
        <f>H110*0.143</f>
        <v>#REF!</v>
      </c>
      <c r="I111" s="96" t="e">
        <f aca="true" t="shared" si="35" ref="I111:Q111">I110*0.143</f>
        <v>#REF!</v>
      </c>
      <c r="J111" s="96" t="e">
        <f t="shared" si="35"/>
        <v>#REF!</v>
      </c>
      <c r="K111" s="96" t="e">
        <f t="shared" si="35"/>
        <v>#REF!</v>
      </c>
      <c r="L111" s="96" t="e">
        <f t="shared" si="35"/>
        <v>#REF!</v>
      </c>
      <c r="M111" s="96" t="e">
        <f t="shared" si="35"/>
        <v>#REF!</v>
      </c>
      <c r="N111" s="96" t="e">
        <f t="shared" si="35"/>
        <v>#REF!</v>
      </c>
      <c r="O111" s="96" t="e">
        <f t="shared" si="35"/>
        <v>#REF!</v>
      </c>
      <c r="P111" s="96" t="e">
        <f t="shared" si="35"/>
        <v>#REF!</v>
      </c>
      <c r="Q111" s="96" t="e">
        <f t="shared" si="35"/>
        <v>#REF!</v>
      </c>
    </row>
    <row r="112" spans="2:17" ht="32.25" thickBot="1">
      <c r="B112" s="386"/>
      <c r="C112" s="130" t="s">
        <v>459</v>
      </c>
      <c r="D112" s="387"/>
      <c r="E112" s="388"/>
      <c r="F112" s="388"/>
      <c r="G112" s="388"/>
      <c r="H112" s="389"/>
      <c r="I112" s="389"/>
      <c r="J112" s="389"/>
      <c r="K112" s="389"/>
      <c r="L112" s="389"/>
      <c r="M112" s="389"/>
      <c r="N112" s="389"/>
      <c r="O112" s="389"/>
      <c r="P112" s="389"/>
      <c r="Q112" s="390"/>
    </row>
    <row r="113" spans="2:17" ht="25.5" customHeight="1">
      <c r="B113" s="39"/>
      <c r="C113" s="50" t="s">
        <v>387</v>
      </c>
      <c r="D113" s="45" t="s">
        <v>505</v>
      </c>
      <c r="E113" s="33" t="e">
        <f>E51</f>
        <v>#REF!</v>
      </c>
      <c r="F113" s="33" t="e">
        <f aca="true" t="shared" si="36" ref="F113:Q113">F51</f>
        <v>#REF!</v>
      </c>
      <c r="G113" s="90" t="e">
        <f t="shared" si="36"/>
        <v>#REF!</v>
      </c>
      <c r="H113" s="34" t="e">
        <f t="shared" si="36"/>
        <v>#REF!</v>
      </c>
      <c r="I113" s="34" t="e">
        <f t="shared" si="36"/>
        <v>#REF!</v>
      </c>
      <c r="J113" s="34" t="e">
        <f t="shared" si="36"/>
        <v>#REF!</v>
      </c>
      <c r="K113" s="34" t="e">
        <f t="shared" si="36"/>
        <v>#REF!</v>
      </c>
      <c r="L113" s="34" t="e">
        <f t="shared" si="36"/>
        <v>#REF!</v>
      </c>
      <c r="M113" s="34" t="e">
        <f t="shared" si="36"/>
        <v>#REF!</v>
      </c>
      <c r="N113" s="34" t="e">
        <f t="shared" si="36"/>
        <v>#REF!</v>
      </c>
      <c r="O113" s="34" t="e">
        <f t="shared" si="36"/>
        <v>#REF!</v>
      </c>
      <c r="P113" s="34" t="e">
        <f t="shared" si="36"/>
        <v>#REF!</v>
      </c>
      <c r="Q113" s="385" t="e">
        <f t="shared" si="36"/>
        <v>#REF!</v>
      </c>
    </row>
    <row r="114" spans="2:17" ht="25.5" customHeight="1">
      <c r="B114" s="37"/>
      <c r="C114" s="48" t="s">
        <v>383</v>
      </c>
      <c r="D114" s="45" t="s">
        <v>505</v>
      </c>
      <c r="E114" s="30"/>
      <c r="F114" s="30"/>
      <c r="G114" s="30"/>
      <c r="H114" s="30" t="e">
        <f>$E$113-H113</f>
        <v>#REF!</v>
      </c>
      <c r="I114" s="30" t="e">
        <f aca="true" t="shared" si="37" ref="I114:Q114">$E$113-I113</f>
        <v>#REF!</v>
      </c>
      <c r="J114" s="30" t="e">
        <f t="shared" si="37"/>
        <v>#REF!</v>
      </c>
      <c r="K114" s="30" t="e">
        <f t="shared" si="37"/>
        <v>#REF!</v>
      </c>
      <c r="L114" s="30" t="e">
        <f t="shared" si="37"/>
        <v>#REF!</v>
      </c>
      <c r="M114" s="30" t="e">
        <f t="shared" si="37"/>
        <v>#REF!</v>
      </c>
      <c r="N114" s="30" t="e">
        <f t="shared" si="37"/>
        <v>#REF!</v>
      </c>
      <c r="O114" s="30" t="e">
        <f t="shared" si="37"/>
        <v>#REF!</v>
      </c>
      <c r="P114" s="30" t="e">
        <f t="shared" si="37"/>
        <v>#REF!</v>
      </c>
      <c r="Q114" s="30" t="e">
        <f t="shared" si="37"/>
        <v>#REF!</v>
      </c>
    </row>
    <row r="115" spans="2:17" ht="25.5" customHeight="1" thickBot="1">
      <c r="B115" s="38"/>
      <c r="C115" s="49" t="s">
        <v>385</v>
      </c>
      <c r="D115" s="44" t="s">
        <v>486</v>
      </c>
      <c r="E115" s="31"/>
      <c r="F115" s="31"/>
      <c r="G115" s="31"/>
      <c r="H115" s="32" t="e">
        <f>((H114/1000)*0.123)</f>
        <v>#REF!</v>
      </c>
      <c r="I115" s="32" t="e">
        <f aca="true" t="shared" si="38" ref="I115:Q115">((I114/1000)*0.123)</f>
        <v>#REF!</v>
      </c>
      <c r="J115" s="32" t="e">
        <f t="shared" si="38"/>
        <v>#REF!</v>
      </c>
      <c r="K115" s="32" t="e">
        <f t="shared" si="38"/>
        <v>#REF!</v>
      </c>
      <c r="L115" s="32" t="e">
        <f t="shared" si="38"/>
        <v>#REF!</v>
      </c>
      <c r="M115" s="32" t="e">
        <f t="shared" si="38"/>
        <v>#REF!</v>
      </c>
      <c r="N115" s="32" t="e">
        <f t="shared" si="38"/>
        <v>#REF!</v>
      </c>
      <c r="O115" s="32" t="e">
        <f t="shared" si="38"/>
        <v>#REF!</v>
      </c>
      <c r="P115" s="32" t="e">
        <f t="shared" si="38"/>
        <v>#REF!</v>
      </c>
      <c r="Q115" s="32" t="e">
        <f t="shared" si="38"/>
        <v>#REF!</v>
      </c>
    </row>
    <row r="116" spans="2:17" ht="55.5" customHeight="1">
      <c r="B116" s="39">
        <v>31</v>
      </c>
      <c r="C116" s="50" t="s">
        <v>388</v>
      </c>
      <c r="D116" s="46" t="s">
        <v>472</v>
      </c>
      <c r="E116" s="28" t="e">
        <f>E56</f>
        <v>#REF!</v>
      </c>
      <c r="F116" s="28" t="e">
        <f aca="true" t="shared" si="39" ref="F116:Q116">F56</f>
        <v>#REF!</v>
      </c>
      <c r="G116" s="28" t="e">
        <f t="shared" si="39"/>
        <v>#REF!</v>
      </c>
      <c r="H116" s="28" t="e">
        <f t="shared" si="39"/>
        <v>#REF!</v>
      </c>
      <c r="I116" s="28" t="e">
        <f t="shared" si="39"/>
        <v>#REF!</v>
      </c>
      <c r="J116" s="28" t="e">
        <f t="shared" si="39"/>
        <v>#REF!</v>
      </c>
      <c r="K116" s="28" t="e">
        <f t="shared" si="39"/>
        <v>#REF!</v>
      </c>
      <c r="L116" s="28" t="e">
        <f t="shared" si="39"/>
        <v>#REF!</v>
      </c>
      <c r="M116" s="28" t="e">
        <f t="shared" si="39"/>
        <v>#REF!</v>
      </c>
      <c r="N116" s="28" t="e">
        <f t="shared" si="39"/>
        <v>#REF!</v>
      </c>
      <c r="O116" s="28" t="e">
        <f t="shared" si="39"/>
        <v>#REF!</v>
      </c>
      <c r="P116" s="28" t="e">
        <f t="shared" si="39"/>
        <v>#REF!</v>
      </c>
      <c r="Q116" s="29" t="e">
        <f t="shared" si="39"/>
        <v>#REF!</v>
      </c>
    </row>
    <row r="117" spans="2:17" ht="31.5">
      <c r="B117" s="40"/>
      <c r="C117" s="48" t="s">
        <v>383</v>
      </c>
      <c r="D117" s="46" t="s">
        <v>472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1"/>
      <c r="C118" s="56" t="s">
        <v>385</v>
      </c>
      <c r="D118" s="57" t="s">
        <v>486</v>
      </c>
      <c r="E118" s="58"/>
      <c r="F118" s="58"/>
      <c r="G118" s="58"/>
      <c r="H118" s="59" t="e">
        <f>H117*1.137</f>
        <v>#REF!</v>
      </c>
      <c r="I118" s="59" t="e">
        <f aca="true" t="shared" si="41" ref="I118:Q118">I117*1.137</f>
        <v>#REF!</v>
      </c>
      <c r="J118" s="59" t="e">
        <f t="shared" si="41"/>
        <v>#REF!</v>
      </c>
      <c r="K118" s="59" t="e">
        <f t="shared" si="41"/>
        <v>#REF!</v>
      </c>
      <c r="L118" s="59" t="e">
        <f t="shared" si="41"/>
        <v>#REF!</v>
      </c>
      <c r="M118" s="59" t="e">
        <f t="shared" si="41"/>
        <v>#REF!</v>
      </c>
      <c r="N118" s="59" t="e">
        <f t="shared" si="41"/>
        <v>#REF!</v>
      </c>
      <c r="O118" s="59" t="e">
        <f t="shared" si="41"/>
        <v>#REF!</v>
      </c>
      <c r="P118" s="59" t="e">
        <f t="shared" si="41"/>
        <v>#REF!</v>
      </c>
      <c r="Q118" s="59" t="e">
        <f t="shared" si="41"/>
        <v>#REF!</v>
      </c>
    </row>
    <row r="119" spans="3:17" ht="12.75">
      <c r="C119" s="366" t="s">
        <v>389</v>
      </c>
      <c r="D119" s="360" t="s">
        <v>486</v>
      </c>
      <c r="E119" s="360"/>
      <c r="F119" s="360"/>
      <c r="G119" s="360"/>
      <c r="H119" s="367" t="e">
        <f>H111+H115+H118</f>
        <v>#REF!</v>
      </c>
      <c r="I119" s="367" t="e">
        <f aca="true" t="shared" si="42" ref="I119:Q119">I111+I115+I118</f>
        <v>#REF!</v>
      </c>
      <c r="J119" s="367" t="e">
        <f t="shared" si="42"/>
        <v>#REF!</v>
      </c>
      <c r="K119" s="367" t="e">
        <f t="shared" si="42"/>
        <v>#REF!</v>
      </c>
      <c r="L119" s="367" t="e">
        <f t="shared" si="42"/>
        <v>#REF!</v>
      </c>
      <c r="M119" s="367" t="e">
        <f t="shared" si="42"/>
        <v>#REF!</v>
      </c>
      <c r="N119" s="367" t="e">
        <f t="shared" si="42"/>
        <v>#REF!</v>
      </c>
      <c r="O119" s="367" t="e">
        <f t="shared" si="42"/>
        <v>#REF!</v>
      </c>
      <c r="P119" s="367" t="e">
        <f t="shared" si="42"/>
        <v>#REF!</v>
      </c>
      <c r="Q119" s="368" t="e">
        <f t="shared" si="42"/>
        <v>#REF!</v>
      </c>
    </row>
    <row r="120" spans="3:17" ht="12.75">
      <c r="C120" s="6" t="s">
        <v>582</v>
      </c>
      <c r="D120" s="3" t="s">
        <v>472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583</v>
      </c>
      <c r="D121" s="3" t="s">
        <v>472</v>
      </c>
      <c r="E121" s="3"/>
      <c r="F121" s="3"/>
      <c r="G121" s="3"/>
      <c r="H121" s="369" t="e">
        <f>G120-H120</f>
        <v>#REF!</v>
      </c>
      <c r="I121" s="369" t="e">
        <f aca="true" t="shared" si="44" ref="I121:Q121">H120-I120</f>
        <v>#REF!</v>
      </c>
      <c r="J121" s="369" t="e">
        <f t="shared" si="44"/>
        <v>#REF!</v>
      </c>
      <c r="K121" s="369" t="e">
        <f t="shared" si="44"/>
        <v>#REF!</v>
      </c>
      <c r="L121" s="369" t="e">
        <f t="shared" si="44"/>
        <v>#REF!</v>
      </c>
      <c r="M121" s="369" t="e">
        <f t="shared" si="44"/>
        <v>#REF!</v>
      </c>
      <c r="N121" s="369" t="e">
        <f t="shared" si="44"/>
        <v>#REF!</v>
      </c>
      <c r="O121" s="369" t="e">
        <f t="shared" si="44"/>
        <v>#REF!</v>
      </c>
      <c r="P121" s="369" t="e">
        <f t="shared" si="44"/>
        <v>#REF!</v>
      </c>
      <c r="Q121" s="369" t="e">
        <f t="shared" si="44"/>
        <v>#REF!</v>
      </c>
    </row>
    <row r="122" spans="3:17" ht="12.75">
      <c r="C122" s="91"/>
      <c r="D122" s="92"/>
      <c r="E122" s="92"/>
      <c r="F122" s="92"/>
      <c r="G122" s="92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</row>
    <row r="123" ht="12.75"/>
    <row r="124" spans="8:17" ht="13.5" thickBot="1">
      <c r="H124" t="e">
        <f>H127/G127</f>
        <v>#REF!</v>
      </c>
      <c r="I124" s="88" t="e">
        <f>I127/H127</f>
        <v>#REF!</v>
      </c>
      <c r="J124" s="88" t="e">
        <f>J127/I127</f>
        <v>#REF!</v>
      </c>
      <c r="K124" s="88" t="e">
        <f aca="true" t="shared" si="45" ref="K124:Q124">K127/J127</f>
        <v>#REF!</v>
      </c>
      <c r="L124" s="88" t="e">
        <f t="shared" si="45"/>
        <v>#REF!</v>
      </c>
      <c r="M124" s="88" t="e">
        <f t="shared" si="45"/>
        <v>#REF!</v>
      </c>
      <c r="N124" s="88" t="e">
        <f t="shared" si="45"/>
        <v>#REF!</v>
      </c>
      <c r="O124" s="88" t="e">
        <f t="shared" si="45"/>
        <v>#REF!</v>
      </c>
      <c r="P124" s="88" t="e">
        <f t="shared" si="45"/>
        <v>#REF!</v>
      </c>
      <c r="Q124" s="88" t="e">
        <f t="shared" si="45"/>
        <v>#REF!</v>
      </c>
    </row>
    <row r="125" spans="2:17" ht="12.75">
      <c r="B125" s="61"/>
      <c r="C125" s="66" t="s">
        <v>390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</row>
    <row r="126" spans="2:17" ht="13.5" thickBot="1">
      <c r="B126" s="67"/>
      <c r="C126" s="68"/>
      <c r="D126" s="58"/>
      <c r="E126" s="58">
        <v>2007</v>
      </c>
      <c r="F126" s="58">
        <v>2008</v>
      </c>
      <c r="G126" s="58">
        <v>2009</v>
      </c>
      <c r="H126" s="58">
        <v>2010</v>
      </c>
      <c r="I126" s="58">
        <v>2011</v>
      </c>
      <c r="J126" s="58">
        <v>2012</v>
      </c>
      <c r="K126" s="58">
        <v>2013</v>
      </c>
      <c r="L126" s="58">
        <v>2014</v>
      </c>
      <c r="M126" s="58">
        <v>2015</v>
      </c>
      <c r="N126" s="58">
        <v>2016</v>
      </c>
      <c r="O126" s="58">
        <v>2017</v>
      </c>
      <c r="P126" s="58">
        <v>2018</v>
      </c>
      <c r="Q126" s="69">
        <v>2019</v>
      </c>
    </row>
    <row r="127" spans="2:17" ht="32.25" thickBot="1">
      <c r="B127" s="61"/>
      <c r="C127" s="50" t="s">
        <v>21</v>
      </c>
      <c r="D127" s="62" t="s">
        <v>493</v>
      </c>
      <c r="E127" s="62" t="e">
        <f>E75+E77</f>
        <v>#REF!</v>
      </c>
      <c r="F127" s="62" t="e">
        <f>F75+F77</f>
        <v>#REF!</v>
      </c>
      <c r="G127" s="62" t="e">
        <f>G75+G77</f>
        <v>#REF!</v>
      </c>
      <c r="H127" s="62" t="e">
        <f>G127*0.99</f>
        <v>#REF!</v>
      </c>
      <c r="I127" s="62" t="e">
        <f>H127*0.99</f>
        <v>#REF!</v>
      </c>
      <c r="J127" s="62" t="e">
        <f aca="true" t="shared" si="46" ref="J127:Q127">I127*0.99</f>
        <v>#REF!</v>
      </c>
      <c r="K127" s="62" t="e">
        <f t="shared" si="46"/>
        <v>#REF!</v>
      </c>
      <c r="L127" s="62" t="e">
        <f t="shared" si="46"/>
        <v>#REF!</v>
      </c>
      <c r="M127" s="62" t="e">
        <f t="shared" si="46"/>
        <v>#REF!</v>
      </c>
      <c r="N127" s="62" t="e">
        <f t="shared" si="46"/>
        <v>#REF!</v>
      </c>
      <c r="O127" s="62" t="e">
        <f t="shared" si="46"/>
        <v>#REF!</v>
      </c>
      <c r="P127" s="62" t="e">
        <f t="shared" si="46"/>
        <v>#REF!</v>
      </c>
      <c r="Q127" s="62" t="e">
        <f t="shared" si="46"/>
        <v>#REF!</v>
      </c>
    </row>
    <row r="128" spans="2:17" ht="16.5" thickBot="1">
      <c r="B128" s="72"/>
      <c r="C128" s="50"/>
      <c r="D128" s="62"/>
      <c r="E128" s="73"/>
      <c r="F128" s="73"/>
      <c r="G128" s="73" t="e">
        <f>G129/G127</f>
        <v>#REF!</v>
      </c>
      <c r="H128" s="73">
        <v>0.43</v>
      </c>
      <c r="I128" s="78">
        <v>0.48</v>
      </c>
      <c r="J128" s="78">
        <v>0.542</v>
      </c>
      <c r="K128" s="78">
        <v>0.61</v>
      </c>
      <c r="L128" s="78">
        <v>0.6671</v>
      </c>
      <c r="M128" s="78">
        <v>0.96</v>
      </c>
      <c r="N128" s="78">
        <v>1</v>
      </c>
      <c r="O128" s="73" t="e">
        <f>O129/O127</f>
        <v>#REF!</v>
      </c>
      <c r="P128" s="73" t="e">
        <f>P129/P127</f>
        <v>#REF!</v>
      </c>
      <c r="Q128" s="73" t="e">
        <f>Q129/Q127</f>
        <v>#REF!</v>
      </c>
    </row>
    <row r="129" spans="2:17" ht="32.25" thickBot="1">
      <c r="B129" s="72"/>
      <c r="C129" s="50" t="s">
        <v>190</v>
      </c>
      <c r="D129" s="62" t="s">
        <v>493</v>
      </c>
      <c r="E129" s="392" t="e">
        <f>E76+E78</f>
        <v>#REF!</v>
      </c>
      <c r="F129" s="392" t="e">
        <f>F76+F78</f>
        <v>#REF!</v>
      </c>
      <c r="G129" s="392" t="e">
        <f>G76+G78</f>
        <v>#REF!</v>
      </c>
      <c r="H129" s="393" t="e">
        <f aca="true" t="shared" si="47" ref="H129:N129">H127*H128</f>
        <v>#REF!</v>
      </c>
      <c r="I129" s="393" t="e">
        <f t="shared" si="47"/>
        <v>#REF!</v>
      </c>
      <c r="J129" s="393" t="e">
        <f t="shared" si="47"/>
        <v>#REF!</v>
      </c>
      <c r="K129" s="393" t="e">
        <f t="shared" si="47"/>
        <v>#REF!</v>
      </c>
      <c r="L129" s="393" t="e">
        <f t="shared" si="47"/>
        <v>#REF!</v>
      </c>
      <c r="M129" s="344" t="e">
        <f t="shared" si="47"/>
        <v>#REF!</v>
      </c>
      <c r="N129" s="344" t="e">
        <f t="shared" si="47"/>
        <v>#REF!</v>
      </c>
      <c r="O129" s="343" t="e">
        <f>O127</f>
        <v>#REF!</v>
      </c>
      <c r="P129" s="343" t="e">
        <f>P127</f>
        <v>#REF!</v>
      </c>
      <c r="Q129" s="343" t="e">
        <f>Q127</f>
        <v>#REF!</v>
      </c>
    </row>
    <row r="130" spans="2:17" ht="31.5">
      <c r="B130" s="72"/>
      <c r="C130" s="50" t="s">
        <v>371</v>
      </c>
      <c r="D130" s="62" t="s">
        <v>493</v>
      </c>
      <c r="E130" s="73"/>
      <c r="F130" s="73"/>
      <c r="G130" s="74" t="e">
        <f>G129-$E$129</f>
        <v>#REF!</v>
      </c>
      <c r="H130" s="74" t="e">
        <f>H129-$E$129</f>
        <v>#REF!</v>
      </c>
      <c r="I130" s="74" t="e">
        <f aca="true" t="shared" si="48" ref="I130:Q130">I129-$E$129</f>
        <v>#REF!</v>
      </c>
      <c r="J130" s="74" t="e">
        <f t="shared" si="48"/>
        <v>#REF!</v>
      </c>
      <c r="K130" s="74" t="e">
        <f t="shared" si="48"/>
        <v>#REF!</v>
      </c>
      <c r="L130" s="74" t="e">
        <f t="shared" si="48"/>
        <v>#REF!</v>
      </c>
      <c r="M130" s="74" t="e">
        <f t="shared" si="48"/>
        <v>#REF!</v>
      </c>
      <c r="N130" s="74" t="e">
        <f t="shared" si="48"/>
        <v>#REF!</v>
      </c>
      <c r="O130" s="74" t="e">
        <f t="shared" si="48"/>
        <v>#REF!</v>
      </c>
      <c r="P130" s="74" t="e">
        <f t="shared" si="48"/>
        <v>#REF!</v>
      </c>
      <c r="Q130" s="74" t="e">
        <f t="shared" si="48"/>
        <v>#REF!</v>
      </c>
    </row>
    <row r="131" spans="2:17" ht="47.25">
      <c r="B131" s="64"/>
      <c r="C131" s="50" t="s">
        <v>431</v>
      </c>
      <c r="D131" s="3" t="s">
        <v>493</v>
      </c>
      <c r="E131" s="3"/>
      <c r="F131" s="3"/>
      <c r="G131" s="70" t="e">
        <f>G130*0.04</f>
        <v>#REF!</v>
      </c>
      <c r="H131" s="70" t="e">
        <f>H130*0.04</f>
        <v>#REF!</v>
      </c>
      <c r="I131" s="70" t="e">
        <f>I130*0.04</f>
        <v>#REF!</v>
      </c>
      <c r="J131" s="70" t="e">
        <f>J130*0.04</f>
        <v>#REF!</v>
      </c>
      <c r="K131" s="70" t="e">
        <f>K130*0.04</f>
        <v>#REF!</v>
      </c>
      <c r="L131" s="70" t="e">
        <f>L130*0.05</f>
        <v>#REF!</v>
      </c>
      <c r="M131" s="70" t="e">
        <f>M130*0.06</f>
        <v>#REF!</v>
      </c>
      <c r="N131" s="70" t="e">
        <f>N130*0.08</f>
        <v>#REF!</v>
      </c>
      <c r="O131" s="70" t="e">
        <f>O130*0.08</f>
        <v>#REF!</v>
      </c>
      <c r="P131" s="70" t="e">
        <f>P130*0.1</f>
        <v>#REF!</v>
      </c>
      <c r="Q131" s="70" t="e">
        <f>Q130*0.1</f>
        <v>#REF!</v>
      </c>
    </row>
    <row r="132" spans="2:17" ht="16.5" thickBot="1">
      <c r="B132" s="65"/>
      <c r="C132" s="278" t="s">
        <v>385</v>
      </c>
      <c r="D132" s="58" t="s">
        <v>486</v>
      </c>
      <c r="E132" s="58"/>
      <c r="F132" s="58"/>
      <c r="G132" s="58"/>
      <c r="H132" s="59" t="e">
        <f aca="true" t="shared" si="49" ref="H132:Q132">H131*0.143</f>
        <v>#REF!</v>
      </c>
      <c r="I132" s="59" t="e">
        <f t="shared" si="49"/>
        <v>#REF!</v>
      </c>
      <c r="J132" s="59" t="e">
        <f t="shared" si="49"/>
        <v>#REF!</v>
      </c>
      <c r="K132" s="59" t="e">
        <f t="shared" si="49"/>
        <v>#REF!</v>
      </c>
      <c r="L132" s="59" t="e">
        <f t="shared" si="49"/>
        <v>#REF!</v>
      </c>
      <c r="M132" s="59" t="e">
        <f t="shared" si="49"/>
        <v>#REF!</v>
      </c>
      <c r="N132" s="59" t="e">
        <f t="shared" si="49"/>
        <v>#REF!</v>
      </c>
      <c r="O132" s="59" t="e">
        <f t="shared" si="49"/>
        <v>#REF!</v>
      </c>
      <c r="P132" s="59" t="e">
        <f t="shared" si="49"/>
        <v>#REF!</v>
      </c>
      <c r="Q132" s="279" t="e">
        <f t="shared" si="49"/>
        <v>#REF!</v>
      </c>
    </row>
    <row r="133" spans="2:17" ht="47.25">
      <c r="B133" s="225"/>
      <c r="C133" s="280" t="s">
        <v>445</v>
      </c>
      <c r="D133" s="112" t="s">
        <v>493</v>
      </c>
      <c r="E133" s="112"/>
      <c r="F133" s="112"/>
      <c r="G133" s="112"/>
      <c r="H133" s="281" t="e">
        <f>H127-H131</f>
        <v>#REF!</v>
      </c>
      <c r="I133" s="281" t="e">
        <f aca="true" t="shared" si="50" ref="I133:Q133">I127-I131</f>
        <v>#REF!</v>
      </c>
      <c r="J133" s="281" t="e">
        <f t="shared" si="50"/>
        <v>#REF!</v>
      </c>
      <c r="K133" s="281" t="e">
        <f t="shared" si="50"/>
        <v>#REF!</v>
      </c>
      <c r="L133" s="281" t="e">
        <f t="shared" si="50"/>
        <v>#REF!</v>
      </c>
      <c r="M133" s="394" t="e">
        <f t="shared" si="50"/>
        <v>#REF!</v>
      </c>
      <c r="N133" s="391" t="e">
        <f t="shared" si="50"/>
        <v>#REF!</v>
      </c>
      <c r="O133" s="281" t="e">
        <f t="shared" si="50"/>
        <v>#REF!</v>
      </c>
      <c r="P133" s="281" t="e">
        <f t="shared" si="50"/>
        <v>#REF!</v>
      </c>
      <c r="Q133" s="281" t="e">
        <f t="shared" si="50"/>
        <v>#REF!</v>
      </c>
    </row>
    <row r="134" spans="2:17" ht="16.5" thickBot="1">
      <c r="B134" s="225"/>
      <c r="C134" s="282" t="s">
        <v>540</v>
      </c>
      <c r="D134" s="157" t="s">
        <v>493</v>
      </c>
      <c r="E134" s="176"/>
      <c r="F134" s="176"/>
      <c r="G134" s="176"/>
      <c r="H134" s="283" t="e">
        <f>H131-G131</f>
        <v>#REF!</v>
      </c>
      <c r="I134" s="283" t="e">
        <f>H133-I133</f>
        <v>#REF!</v>
      </c>
      <c r="J134" s="283" t="e">
        <f>I133-J133</f>
        <v>#REF!</v>
      </c>
      <c r="K134" s="283" t="e">
        <f>J133-K133</f>
        <v>#REF!</v>
      </c>
      <c r="L134" s="283" t="e">
        <f>K133-L133</f>
        <v>#REF!</v>
      </c>
      <c r="M134" s="283" t="e">
        <f>L133-M133</f>
        <v>#REF!</v>
      </c>
      <c r="N134" s="283">
        <v>0</v>
      </c>
      <c r="O134" s="283">
        <v>0</v>
      </c>
      <c r="P134" s="283">
        <v>0</v>
      </c>
      <c r="Q134" s="283">
        <v>0</v>
      </c>
    </row>
    <row r="135" spans="2:17" ht="32.25" thickBot="1">
      <c r="B135" s="61"/>
      <c r="C135" s="50" t="s">
        <v>397</v>
      </c>
      <c r="D135" s="73" t="s">
        <v>505</v>
      </c>
      <c r="E135" s="73" t="e">
        <f>E70+E72</f>
        <v>#REF!</v>
      </c>
      <c r="F135" s="73" t="e">
        <f aca="true" t="shared" si="51" ref="F135:Q135">F70+F72</f>
        <v>#REF!</v>
      </c>
      <c r="G135" s="73" t="e">
        <f t="shared" si="51"/>
        <v>#REF!</v>
      </c>
      <c r="H135" s="73" t="e">
        <f t="shared" si="51"/>
        <v>#REF!</v>
      </c>
      <c r="I135" s="73" t="e">
        <f t="shared" si="51"/>
        <v>#REF!</v>
      </c>
      <c r="J135" s="73" t="e">
        <f t="shared" si="51"/>
        <v>#REF!</v>
      </c>
      <c r="K135" s="73" t="e">
        <f t="shared" si="51"/>
        <v>#REF!</v>
      </c>
      <c r="L135" s="73" t="e">
        <f t="shared" si="51"/>
        <v>#REF!</v>
      </c>
      <c r="M135" s="73" t="e">
        <f t="shared" si="51"/>
        <v>#REF!</v>
      </c>
      <c r="N135" s="73" t="e">
        <f t="shared" si="51"/>
        <v>#REF!</v>
      </c>
      <c r="O135" s="73" t="e">
        <f t="shared" si="51"/>
        <v>#REF!</v>
      </c>
      <c r="P135" s="73" t="e">
        <f t="shared" si="51"/>
        <v>#REF!</v>
      </c>
      <c r="Q135" s="73" t="e">
        <f t="shared" si="51"/>
        <v>#REF!</v>
      </c>
    </row>
    <row r="136" spans="2:17" ht="32.25" thickBot="1">
      <c r="B136" s="72"/>
      <c r="C136" s="50" t="s">
        <v>401</v>
      </c>
      <c r="D136" s="62" t="s">
        <v>505</v>
      </c>
      <c r="E136" s="73" t="e">
        <f>E71+E74</f>
        <v>#REF!</v>
      </c>
      <c r="F136" s="73" t="e">
        <f>F71+F74</f>
        <v>#REF!</v>
      </c>
      <c r="G136" s="73" t="e">
        <f>G71+G74</f>
        <v>#REF!</v>
      </c>
      <c r="H136" s="73" t="e">
        <f>H71+H73+H74</f>
        <v>#REF!</v>
      </c>
      <c r="I136" s="73" t="e">
        <f>I135</f>
        <v>#REF!</v>
      </c>
      <c r="J136" s="73" t="e">
        <f aca="true" t="shared" si="52" ref="J136:Q136">J135</f>
        <v>#REF!</v>
      </c>
      <c r="K136" s="73" t="e">
        <f t="shared" si="52"/>
        <v>#REF!</v>
      </c>
      <c r="L136" s="73" t="e">
        <f t="shared" si="52"/>
        <v>#REF!</v>
      </c>
      <c r="M136" s="73" t="e">
        <f t="shared" si="52"/>
        <v>#REF!</v>
      </c>
      <c r="N136" s="73" t="e">
        <f t="shared" si="52"/>
        <v>#REF!</v>
      </c>
      <c r="O136" s="73" t="e">
        <f t="shared" si="52"/>
        <v>#REF!</v>
      </c>
      <c r="P136" s="73" t="e">
        <f t="shared" si="52"/>
        <v>#REF!</v>
      </c>
      <c r="Q136" s="73" t="e">
        <f t="shared" si="52"/>
        <v>#REF!</v>
      </c>
    </row>
    <row r="137" spans="2:17" ht="15.75">
      <c r="B137" s="64"/>
      <c r="C137" s="50" t="s">
        <v>383</v>
      </c>
      <c r="D137" s="62" t="s">
        <v>505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5"/>
      <c r="C138" s="50" t="s">
        <v>385</v>
      </c>
      <c r="D138" s="25" t="s">
        <v>486</v>
      </c>
      <c r="E138" s="25"/>
      <c r="F138" s="25"/>
      <c r="G138" s="25"/>
      <c r="H138" s="75" t="e">
        <f>H137*0.123/1000</f>
        <v>#REF!</v>
      </c>
      <c r="I138" s="75" t="e">
        <f aca="true" t="shared" si="54" ref="I138:Q138">I137*0.123/1000</f>
        <v>#REF!</v>
      </c>
      <c r="J138" s="75" t="e">
        <f t="shared" si="54"/>
        <v>#REF!</v>
      </c>
      <c r="K138" s="75" t="e">
        <f t="shared" si="54"/>
        <v>#REF!</v>
      </c>
      <c r="L138" s="75" t="e">
        <f t="shared" si="54"/>
        <v>#REF!</v>
      </c>
      <c r="M138" s="75" t="e">
        <f t="shared" si="54"/>
        <v>#REF!</v>
      </c>
      <c r="N138" s="75" t="e">
        <f t="shared" si="54"/>
        <v>#REF!</v>
      </c>
      <c r="O138" s="75" t="e">
        <f t="shared" si="54"/>
        <v>#REF!</v>
      </c>
      <c r="P138" s="75" t="e">
        <f t="shared" si="54"/>
        <v>#REF!</v>
      </c>
      <c r="Q138" s="75" t="e">
        <f t="shared" si="54"/>
        <v>#REF!</v>
      </c>
    </row>
    <row r="139" spans="2:17" ht="12.75">
      <c r="B139" s="225"/>
      <c r="C139" s="226"/>
      <c r="D139" s="125"/>
      <c r="E139" s="125"/>
      <c r="F139" s="125"/>
      <c r="G139" s="125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</row>
    <row r="140" spans="2:17" ht="13.5" thickBot="1">
      <c r="B140" s="225"/>
      <c r="C140" s="226"/>
      <c r="D140" s="125"/>
      <c r="E140" s="125"/>
      <c r="F140" s="125"/>
      <c r="G140" s="125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</row>
    <row r="141" spans="2:18" ht="39" thickBot="1">
      <c r="B141" s="658" t="s">
        <v>575</v>
      </c>
      <c r="C141" s="258" t="s">
        <v>69</v>
      </c>
      <c r="D141" s="297" t="s">
        <v>472</v>
      </c>
      <c r="E141" s="298" t="e">
        <f>E86+E84</f>
        <v>#REF!</v>
      </c>
      <c r="F141" s="62" t="e">
        <f aca="true" t="shared" si="55" ref="F141:Q141">F86+F84</f>
        <v>#REF!</v>
      </c>
      <c r="G141" s="62" t="e">
        <f t="shared" si="55"/>
        <v>#REF!</v>
      </c>
      <c r="H141" s="62" t="e">
        <f t="shared" si="55"/>
        <v>#REF!</v>
      </c>
      <c r="I141" s="79" t="e">
        <f t="shared" si="55"/>
        <v>#REF!</v>
      </c>
      <c r="J141" s="79" t="e">
        <f t="shared" si="55"/>
        <v>#REF!</v>
      </c>
      <c r="K141" s="79" t="e">
        <f t="shared" si="55"/>
        <v>#REF!</v>
      </c>
      <c r="L141" s="79" t="e">
        <f t="shared" si="55"/>
        <v>#REF!</v>
      </c>
      <c r="M141" s="79" t="e">
        <f t="shared" si="55"/>
        <v>#REF!</v>
      </c>
      <c r="N141" s="79" t="e">
        <f t="shared" si="55"/>
        <v>#REF!</v>
      </c>
      <c r="O141" s="79" t="e">
        <f t="shared" si="55"/>
        <v>#REF!</v>
      </c>
      <c r="P141" s="79" t="e">
        <f t="shared" si="55"/>
        <v>#REF!</v>
      </c>
      <c r="Q141" s="79" t="e">
        <f t="shared" si="55"/>
        <v>#REF!</v>
      </c>
      <c r="R141" t="s">
        <v>73</v>
      </c>
    </row>
    <row r="142" spans="2:17" ht="76.5">
      <c r="B142" s="659"/>
      <c r="C142" s="181" t="s">
        <v>36</v>
      </c>
      <c r="D142" s="297" t="s">
        <v>472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4" t="e">
        <f>G142</f>
        <v>#REF!</v>
      </c>
      <c r="I142" s="74" t="e">
        <f>H142*1.002</f>
        <v>#REF!</v>
      </c>
      <c r="J142" s="74" t="e">
        <f>I142*1.002*0.97</f>
        <v>#REF!</v>
      </c>
      <c r="K142" s="74" t="e">
        <f aca="true" t="shared" si="57" ref="K142:Q142">J142*0.95*1.002</f>
        <v>#REF!</v>
      </c>
      <c r="L142" s="74" t="e">
        <f t="shared" si="57"/>
        <v>#REF!</v>
      </c>
      <c r="M142" s="74" t="e">
        <f t="shared" si="57"/>
        <v>#REF!</v>
      </c>
      <c r="N142" s="74" t="e">
        <f t="shared" si="57"/>
        <v>#REF!</v>
      </c>
      <c r="O142" s="74" t="e">
        <f t="shared" si="57"/>
        <v>#REF!</v>
      </c>
      <c r="P142" s="74" t="e">
        <f t="shared" si="57"/>
        <v>#REF!</v>
      </c>
      <c r="Q142" s="74" t="e">
        <f t="shared" si="57"/>
        <v>#REF!</v>
      </c>
    </row>
    <row r="143" spans="2:17" ht="25.5">
      <c r="B143" s="659"/>
      <c r="C143" s="326" t="s">
        <v>40</v>
      </c>
      <c r="D143" s="327" t="s">
        <v>472</v>
      </c>
      <c r="E143" s="328" t="e">
        <f t="shared" si="56"/>
        <v>#REF!</v>
      </c>
      <c r="F143" s="329" t="e">
        <f t="shared" si="56"/>
        <v>#REF!</v>
      </c>
      <c r="G143" s="329" t="e">
        <f t="shared" si="56"/>
        <v>#REF!</v>
      </c>
      <c r="H143" s="330" t="e">
        <f>H142*0.7</f>
        <v>#REF!</v>
      </c>
      <c r="I143" s="330" t="e">
        <f>I142*0.7</f>
        <v>#REF!</v>
      </c>
      <c r="J143" s="330" t="e">
        <f>J142*0.8</f>
        <v>#REF!</v>
      </c>
      <c r="K143" s="330" t="e">
        <f>K142*0.89</f>
        <v>#REF!</v>
      </c>
      <c r="L143" s="330" t="e">
        <f>L142*0.98</f>
        <v>#REF!</v>
      </c>
      <c r="M143" s="330" t="e">
        <f>M142</f>
        <v>#REF!</v>
      </c>
      <c r="N143" s="330" t="e">
        <f>N142</f>
        <v>#REF!</v>
      </c>
      <c r="O143" s="330" t="e">
        <f>O142</f>
        <v>#REF!</v>
      </c>
      <c r="P143" s="330" t="e">
        <f>P142</f>
        <v>#REF!</v>
      </c>
      <c r="Q143" s="330" t="e">
        <f>Q142</f>
        <v>#REF!</v>
      </c>
    </row>
    <row r="144" spans="2:17" ht="25.5">
      <c r="B144" s="659"/>
      <c r="C144" s="263" t="s">
        <v>585</v>
      </c>
      <c r="D144" s="299" t="s">
        <v>472</v>
      </c>
      <c r="E144" s="296"/>
      <c r="F144" s="74" t="e">
        <f>(F143-$E$143)*0.1</f>
        <v>#REF!</v>
      </c>
      <c r="G144" s="74" t="e">
        <f>(G143-$E$143)*0.1</f>
        <v>#REF!</v>
      </c>
      <c r="H144" s="74" t="e">
        <f>(H143-$E$143)*0.1</f>
        <v>#REF!</v>
      </c>
      <c r="I144" s="74" t="e">
        <f>(I143-$E$143)*0.1</f>
        <v>#REF!</v>
      </c>
      <c r="J144" s="74" t="e">
        <f>(J143-$E$143)*0.15</f>
        <v>#REF!</v>
      </c>
      <c r="K144" s="74" t="e">
        <f>(K143-$E$143)*0.15</f>
        <v>#REF!</v>
      </c>
      <c r="L144" s="74" t="e">
        <f>(L143-$E$143)*0.15</f>
        <v>#REF!</v>
      </c>
      <c r="M144" s="74" t="e">
        <f>(M143-$E$143)*0.16</f>
        <v>#REF!</v>
      </c>
      <c r="N144" s="74" t="e">
        <f>(N143-$E$143)*0.15</f>
        <v>#REF!</v>
      </c>
      <c r="O144" s="74" t="e">
        <f>(O143-$E$143)*0.15</f>
        <v>#REF!</v>
      </c>
      <c r="P144" s="74" t="e">
        <f>(P143-$E$143)*0.15</f>
        <v>#REF!</v>
      </c>
      <c r="Q144" s="74" t="e">
        <f>(Q143-$E$143)*0.15</f>
        <v>#REF!</v>
      </c>
    </row>
    <row r="145" spans="2:17" ht="38.25">
      <c r="B145" s="659"/>
      <c r="C145" s="265" t="s">
        <v>586</v>
      </c>
      <c r="D145" s="112" t="s">
        <v>472</v>
      </c>
      <c r="E145" s="295"/>
      <c r="F145" s="295"/>
      <c r="G145" s="295"/>
      <c r="H145" s="295" t="e">
        <f aca="true" t="shared" si="58" ref="H145:M145">H144-G144</f>
        <v>#REF!</v>
      </c>
      <c r="I145" s="295" t="e">
        <f t="shared" si="58"/>
        <v>#REF!</v>
      </c>
      <c r="J145" s="295" t="e">
        <f t="shared" si="58"/>
        <v>#REF!</v>
      </c>
      <c r="K145" s="295" t="e">
        <f t="shared" si="58"/>
        <v>#REF!</v>
      </c>
      <c r="L145" s="295" t="e">
        <f t="shared" si="58"/>
        <v>#REF!</v>
      </c>
      <c r="M145" s="295" t="e">
        <f t="shared" si="58"/>
        <v>#REF!</v>
      </c>
      <c r="N145" s="295">
        <v>0</v>
      </c>
      <c r="O145" s="295">
        <v>0</v>
      </c>
      <c r="P145" s="295">
        <v>0</v>
      </c>
      <c r="Q145" s="295">
        <v>0</v>
      </c>
    </row>
    <row r="146" spans="2:17" ht="51">
      <c r="B146" s="659"/>
      <c r="C146" s="200" t="s">
        <v>37</v>
      </c>
      <c r="D146" s="270" t="s">
        <v>472</v>
      </c>
      <c r="E146" s="176" t="e">
        <f>E142</f>
        <v>#REF!</v>
      </c>
      <c r="F146" s="176" t="e">
        <f>F142</f>
        <v>#REF!</v>
      </c>
      <c r="G146" s="176" t="e">
        <f>G142</f>
        <v>#REF!</v>
      </c>
      <c r="H146" s="316" t="e">
        <f aca="true" t="shared" si="59" ref="H146:Q146">H142-H144</f>
        <v>#REF!</v>
      </c>
      <c r="I146" s="316" t="e">
        <f t="shared" si="59"/>
        <v>#REF!</v>
      </c>
      <c r="J146" s="316" t="e">
        <f t="shared" si="59"/>
        <v>#REF!</v>
      </c>
      <c r="K146" s="316" t="e">
        <f t="shared" si="59"/>
        <v>#REF!</v>
      </c>
      <c r="L146" s="316" t="e">
        <f t="shared" si="59"/>
        <v>#REF!</v>
      </c>
      <c r="M146" s="320" t="e">
        <f t="shared" si="59"/>
        <v>#REF!</v>
      </c>
      <c r="N146" s="316" t="e">
        <f t="shared" si="59"/>
        <v>#REF!</v>
      </c>
      <c r="O146" s="316" t="e">
        <f t="shared" si="59"/>
        <v>#REF!</v>
      </c>
      <c r="P146" s="316" t="e">
        <f t="shared" si="59"/>
        <v>#REF!</v>
      </c>
      <c r="Q146" s="316" t="e">
        <f t="shared" si="59"/>
        <v>#REF!</v>
      </c>
    </row>
    <row r="147" spans="2:17" ht="51">
      <c r="B147" s="659"/>
      <c r="C147" s="321" t="s">
        <v>39</v>
      </c>
      <c r="D147" s="322" t="s">
        <v>472</v>
      </c>
      <c r="E147" s="323" t="e">
        <f>E84</f>
        <v>#REF!</v>
      </c>
      <c r="F147" s="324" t="e">
        <f>F84</f>
        <v>#REF!</v>
      </c>
      <c r="G147" s="324" t="e">
        <f>$G$84</f>
        <v>#REF!</v>
      </c>
      <c r="H147" s="325" t="e">
        <f>H146+('тэр районы'!S20/3)*0.5</f>
        <v>#REF!</v>
      </c>
      <c r="I147" s="325" t="e">
        <f>I146+(('тэр районы'!S20/3)*0.7)</f>
        <v>#REF!</v>
      </c>
      <c r="J147" s="325" t="e">
        <f>J146+('тэр районы'!$S$20)*0.2</f>
        <v>#REF!</v>
      </c>
      <c r="K147" s="325" t="e">
        <f>K146+('тэр районы'!$S$20)*0.38</f>
        <v>#REF!</v>
      </c>
      <c r="L147" s="325" t="e">
        <f>L146+('тэр районы'!$S$20)*0.62</f>
        <v>#REF!</v>
      </c>
      <c r="M147" s="325" t="e">
        <f>M146+('тэр районы'!$S$20)</f>
        <v>#REF!</v>
      </c>
      <c r="N147" s="325" t="e">
        <f>N146+('тэр районы'!$S$20)</f>
        <v>#REF!</v>
      </c>
      <c r="O147" s="325" t="e">
        <f>O146+('тэр районы'!$S$20)</f>
        <v>#REF!</v>
      </c>
      <c r="P147" s="325" t="e">
        <f>P146+('тэр районы'!$S$20)</f>
        <v>#REF!</v>
      </c>
      <c r="Q147" s="325" t="e">
        <f>Q146+('тэр районы'!$S$20)</f>
        <v>#REF!</v>
      </c>
    </row>
    <row r="148" spans="2:17" ht="25.5">
      <c r="B148" s="659"/>
      <c r="C148" s="331" t="s">
        <v>38</v>
      </c>
      <c r="D148" s="331" t="s">
        <v>472</v>
      </c>
      <c r="E148" s="337" t="e">
        <f>E85</f>
        <v>#REF!</v>
      </c>
      <c r="F148" s="337" t="e">
        <f>F85</f>
        <v>#REF!</v>
      </c>
      <c r="G148" s="337" t="e">
        <f>G85</f>
        <v>#REF!</v>
      </c>
      <c r="H148" s="338" t="e">
        <f>H147*0.7</f>
        <v>#REF!</v>
      </c>
      <c r="I148" s="338" t="e">
        <f>I147*0.78</f>
        <v>#REF!</v>
      </c>
      <c r="J148" s="338" t="e">
        <f>J147</f>
        <v>#REF!</v>
      </c>
      <c r="K148" s="338" t="e">
        <f aca="true" t="shared" si="60" ref="K148:Q148">K147</f>
        <v>#REF!</v>
      </c>
      <c r="L148" s="338" t="e">
        <f t="shared" si="60"/>
        <v>#REF!</v>
      </c>
      <c r="M148" s="338" t="e">
        <f t="shared" si="60"/>
        <v>#REF!</v>
      </c>
      <c r="N148" s="338" t="e">
        <f t="shared" si="60"/>
        <v>#REF!</v>
      </c>
      <c r="O148" s="338" t="e">
        <f t="shared" si="60"/>
        <v>#REF!</v>
      </c>
      <c r="P148" s="338" t="e">
        <f t="shared" si="60"/>
        <v>#REF!</v>
      </c>
      <c r="Q148" s="338" t="e">
        <f t="shared" si="60"/>
        <v>#REF!</v>
      </c>
    </row>
    <row r="149" spans="2:17" ht="38.25">
      <c r="B149" s="659"/>
      <c r="C149" s="263" t="s">
        <v>587</v>
      </c>
      <c r="D149" s="181" t="s">
        <v>472</v>
      </c>
      <c r="E149" s="73" t="e">
        <f>(E148-$E$148)*0.15</f>
        <v>#REF!</v>
      </c>
      <c r="F149" s="78" t="e">
        <f>(F148-$E$148)*0.1</f>
        <v>#REF!</v>
      </c>
      <c r="G149" s="78" t="e">
        <f aca="true" t="shared" si="61" ref="G149:P149">(G148-$E$148)*0.1</f>
        <v>#REF!</v>
      </c>
      <c r="H149" s="78" t="e">
        <f t="shared" si="61"/>
        <v>#REF!</v>
      </c>
      <c r="I149" s="78" t="e">
        <f t="shared" si="61"/>
        <v>#REF!</v>
      </c>
      <c r="J149" s="78" t="e">
        <f t="shared" si="61"/>
        <v>#REF!</v>
      </c>
      <c r="K149" s="78" t="e">
        <f t="shared" si="61"/>
        <v>#REF!</v>
      </c>
      <c r="L149" s="78" t="e">
        <f t="shared" si="61"/>
        <v>#REF!</v>
      </c>
      <c r="M149" s="78" t="e">
        <f t="shared" si="61"/>
        <v>#REF!</v>
      </c>
      <c r="N149" s="78" t="e">
        <f t="shared" si="61"/>
        <v>#REF!</v>
      </c>
      <c r="O149" s="78" t="e">
        <f t="shared" si="61"/>
        <v>#REF!</v>
      </c>
      <c r="P149" s="78" t="e">
        <f t="shared" si="61"/>
        <v>#REF!</v>
      </c>
      <c r="Q149" s="78" t="e">
        <f>(Q148-$E$148)*0.1</f>
        <v>#REF!</v>
      </c>
    </row>
    <row r="150" s="302" customFormat="1" ht="12.75">
      <c r="B150" s="659"/>
    </row>
    <row r="151" spans="2:17" ht="39" thickBot="1">
      <c r="B151" s="659"/>
      <c r="C151" s="265" t="s">
        <v>227</v>
      </c>
      <c r="D151" s="265" t="s">
        <v>486</v>
      </c>
      <c r="E151" s="271"/>
      <c r="F151" s="271"/>
      <c r="G151" s="272"/>
      <c r="H151" s="272" t="e">
        <f>H144*1.137</f>
        <v>#REF!</v>
      </c>
      <c r="I151" s="272" t="e">
        <f aca="true" t="shared" si="62" ref="I151:Q151">I144*1.137</f>
        <v>#REF!</v>
      </c>
      <c r="J151" s="272" t="e">
        <f t="shared" si="62"/>
        <v>#REF!</v>
      </c>
      <c r="K151" s="272" t="e">
        <f t="shared" si="62"/>
        <v>#REF!</v>
      </c>
      <c r="L151" s="272" t="e">
        <f t="shared" si="62"/>
        <v>#REF!</v>
      </c>
      <c r="M151" s="272" t="e">
        <f t="shared" si="62"/>
        <v>#REF!</v>
      </c>
      <c r="N151" s="272" t="e">
        <f t="shared" si="62"/>
        <v>#REF!</v>
      </c>
      <c r="O151" s="272" t="e">
        <f t="shared" si="62"/>
        <v>#REF!</v>
      </c>
      <c r="P151" s="272" t="e">
        <f t="shared" si="62"/>
        <v>#REF!</v>
      </c>
      <c r="Q151" s="272" t="e">
        <f t="shared" si="62"/>
        <v>#REF!</v>
      </c>
    </row>
    <row r="152" spans="2:17" ht="51.75" thickBot="1">
      <c r="B152" s="660"/>
      <c r="C152" s="332" t="s">
        <v>41</v>
      </c>
      <c r="D152" s="333" t="s">
        <v>472</v>
      </c>
      <c r="E152" s="334" t="e">
        <f>E147</f>
        <v>#REF!</v>
      </c>
      <c r="F152" s="334" t="e">
        <f aca="true" t="shared" si="63" ref="F152:Q152">F147</f>
        <v>#REF!</v>
      </c>
      <c r="G152" s="334" t="e">
        <f t="shared" si="63"/>
        <v>#REF!</v>
      </c>
      <c r="H152" s="334" t="e">
        <f t="shared" si="63"/>
        <v>#REF!</v>
      </c>
      <c r="I152" s="334" t="e">
        <f t="shared" si="63"/>
        <v>#REF!</v>
      </c>
      <c r="J152" s="334" t="e">
        <f t="shared" si="63"/>
        <v>#REF!</v>
      </c>
      <c r="K152" s="334" t="e">
        <f t="shared" si="63"/>
        <v>#REF!</v>
      </c>
      <c r="L152" s="334" t="e">
        <f t="shared" si="63"/>
        <v>#REF!</v>
      </c>
      <c r="M152" s="334" t="e">
        <f t="shared" si="63"/>
        <v>#REF!</v>
      </c>
      <c r="N152" s="334" t="e">
        <f t="shared" si="63"/>
        <v>#REF!</v>
      </c>
      <c r="O152" s="334" t="e">
        <f t="shared" si="63"/>
        <v>#REF!</v>
      </c>
      <c r="P152" s="334" t="e">
        <f t="shared" si="63"/>
        <v>#REF!</v>
      </c>
      <c r="Q152" s="334" t="e">
        <f t="shared" si="63"/>
        <v>#REF!</v>
      </c>
    </row>
    <row r="153" ht="13.5" thickBot="1">
      <c r="B153" s="264"/>
    </row>
    <row r="154" spans="2:17" ht="38.25">
      <c r="B154" s="661" t="s">
        <v>576</v>
      </c>
      <c r="C154" s="305" t="s">
        <v>71</v>
      </c>
      <c r="D154" s="306" t="s">
        <v>472</v>
      </c>
      <c r="E154" s="307" t="e">
        <f aca="true" t="shared" si="64" ref="E154:G155">E86</f>
        <v>#REF!</v>
      </c>
      <c r="F154" s="307" t="e">
        <f t="shared" si="64"/>
        <v>#REF!</v>
      </c>
      <c r="G154" s="307" t="e">
        <f t="shared" si="64"/>
        <v>#REF!</v>
      </c>
      <c r="H154" s="345" t="e">
        <f>G154</f>
        <v>#REF!</v>
      </c>
      <c r="I154" s="345" t="e">
        <f>H154*1.014*0.96</f>
        <v>#REF!</v>
      </c>
      <c r="J154" s="345" t="e">
        <f>I154*0.98</f>
        <v>#REF!</v>
      </c>
      <c r="K154" s="345" t="e">
        <f>J154*0.98</f>
        <v>#REF!</v>
      </c>
      <c r="L154" s="345" t="e">
        <f>K154*0.97</f>
        <v>#REF!</v>
      </c>
      <c r="M154" s="345" t="e">
        <f>L154*0.95</f>
        <v>#REF!</v>
      </c>
      <c r="N154" s="345" t="e">
        <f>M154*0.97</f>
        <v>#REF!</v>
      </c>
      <c r="O154" s="345" t="e">
        <f>N154*0.97</f>
        <v>#REF!</v>
      </c>
      <c r="P154" s="345" t="e">
        <f>O154*0.97</f>
        <v>#REF!</v>
      </c>
      <c r="Q154" s="345" t="e">
        <f>P154*0.97</f>
        <v>#REF!</v>
      </c>
    </row>
    <row r="155" spans="2:17" ht="51">
      <c r="B155" s="662"/>
      <c r="C155" s="342" t="s">
        <v>419</v>
      </c>
      <c r="D155" s="181" t="s">
        <v>472</v>
      </c>
      <c r="E155" s="339" t="e">
        <f t="shared" si="64"/>
        <v>#REF!</v>
      </c>
      <c r="F155" s="339" t="e">
        <f t="shared" si="64"/>
        <v>#REF!</v>
      </c>
      <c r="G155" s="339" t="e">
        <f t="shared" si="64"/>
        <v>#REF!</v>
      </c>
      <c r="H155" s="340" t="e">
        <f>H154*0.43</f>
        <v>#REF!</v>
      </c>
      <c r="I155" s="340" t="e">
        <f>I154*0.8</f>
        <v>#REF!</v>
      </c>
      <c r="J155" s="77" t="e">
        <f>J154</f>
        <v>#REF!</v>
      </c>
      <c r="K155" s="77" t="e">
        <f aca="true" t="shared" si="65" ref="K155:Q155">K154</f>
        <v>#REF!</v>
      </c>
      <c r="L155" s="77" t="e">
        <f t="shared" si="65"/>
        <v>#REF!</v>
      </c>
      <c r="M155" s="77" t="e">
        <f t="shared" si="65"/>
        <v>#REF!</v>
      </c>
      <c r="N155" s="77" t="e">
        <f t="shared" si="65"/>
        <v>#REF!</v>
      </c>
      <c r="O155" s="77" t="e">
        <f t="shared" si="65"/>
        <v>#REF!</v>
      </c>
      <c r="P155" s="77" t="e">
        <f t="shared" si="65"/>
        <v>#REF!</v>
      </c>
      <c r="Q155" s="308" t="e">
        <f t="shared" si="65"/>
        <v>#REF!</v>
      </c>
    </row>
    <row r="156" spans="2:17" ht="25.5">
      <c r="B156" s="662"/>
      <c r="C156" s="309" t="s">
        <v>374</v>
      </c>
      <c r="D156" s="181" t="s">
        <v>472</v>
      </c>
      <c r="E156" s="70" t="e">
        <f>(E155-$E$155)*0.15</f>
        <v>#REF!</v>
      </c>
      <c r="F156" s="105">
        <v>0</v>
      </c>
      <c r="G156" s="105" t="e">
        <f>(G155-F155)*0.1</f>
        <v>#REF!</v>
      </c>
      <c r="H156" s="105" t="e">
        <f>(H155-$E$155)*0.1</f>
        <v>#REF!</v>
      </c>
      <c r="I156" s="105" t="e">
        <f aca="true" t="shared" si="66" ref="I156:Q156">(I155-$E$155)*0.1</f>
        <v>#REF!</v>
      </c>
      <c r="J156" s="105" t="e">
        <f t="shared" si="66"/>
        <v>#REF!</v>
      </c>
      <c r="K156" s="105" t="e">
        <f t="shared" si="66"/>
        <v>#REF!</v>
      </c>
      <c r="L156" s="105" t="e">
        <f t="shared" si="66"/>
        <v>#REF!</v>
      </c>
      <c r="M156" s="105" t="e">
        <f t="shared" si="66"/>
        <v>#REF!</v>
      </c>
      <c r="N156" s="105" t="e">
        <f t="shared" si="66"/>
        <v>#REF!</v>
      </c>
      <c r="O156" s="105" t="e">
        <f t="shared" si="66"/>
        <v>#REF!</v>
      </c>
      <c r="P156" s="105" t="e">
        <f t="shared" si="66"/>
        <v>#REF!</v>
      </c>
      <c r="Q156" s="105" t="e">
        <f t="shared" si="66"/>
        <v>#REF!</v>
      </c>
    </row>
    <row r="157" spans="2:17" ht="12.75">
      <c r="B157" s="662"/>
      <c r="C157" s="310" t="s">
        <v>60</v>
      </c>
      <c r="D157" s="270"/>
      <c r="E157" s="178"/>
      <c r="F157" s="178"/>
      <c r="G157" s="178"/>
      <c r="H157" s="178" t="e">
        <f>H156-G156</f>
        <v>#REF!</v>
      </c>
      <c r="I157" s="178" t="e">
        <f>I156-H156</f>
        <v>#REF!</v>
      </c>
      <c r="J157" s="178" t="e">
        <f>J156-I156</f>
        <v>#REF!</v>
      </c>
      <c r="K157" s="178">
        <v>0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311">
        <v>0</v>
      </c>
    </row>
    <row r="158" spans="2:17" ht="26.25" thickBot="1">
      <c r="B158" s="662"/>
      <c r="C158" s="312" t="s">
        <v>255</v>
      </c>
      <c r="D158" s="313" t="s">
        <v>472</v>
      </c>
      <c r="E158" s="314" t="e">
        <f>E156+E149</f>
        <v>#REF!</v>
      </c>
      <c r="F158" s="314" t="e">
        <f>F156+F144</f>
        <v>#REF!</v>
      </c>
      <c r="G158" s="314" t="e">
        <f>G156+G144</f>
        <v>#REF!</v>
      </c>
      <c r="H158" s="314" t="e">
        <f>H156+H144</f>
        <v>#REF!</v>
      </c>
      <c r="I158" s="314" t="e">
        <f aca="true" t="shared" si="67" ref="I158:Q158">I156+I144</f>
        <v>#REF!</v>
      </c>
      <c r="J158" s="314" t="e">
        <f t="shared" si="67"/>
        <v>#REF!</v>
      </c>
      <c r="K158" s="314" t="e">
        <f t="shared" si="67"/>
        <v>#REF!</v>
      </c>
      <c r="L158" s="314" t="e">
        <f t="shared" si="67"/>
        <v>#REF!</v>
      </c>
      <c r="M158" s="314" t="e">
        <f t="shared" si="67"/>
        <v>#REF!</v>
      </c>
      <c r="N158" s="314" t="e">
        <f t="shared" si="67"/>
        <v>#REF!</v>
      </c>
      <c r="O158" s="314" t="e">
        <f t="shared" si="67"/>
        <v>#REF!</v>
      </c>
      <c r="P158" s="314" t="e">
        <f t="shared" si="67"/>
        <v>#REF!</v>
      </c>
      <c r="Q158" s="315" t="e">
        <f t="shared" si="67"/>
        <v>#REF!</v>
      </c>
    </row>
    <row r="159" spans="2:17" ht="25.5">
      <c r="B159" s="663"/>
      <c r="C159" s="269" t="s">
        <v>74</v>
      </c>
      <c r="D159" s="268" t="s">
        <v>472</v>
      </c>
      <c r="E159" s="303"/>
      <c r="F159" s="303"/>
      <c r="G159" s="303"/>
      <c r="H159" s="304" t="e">
        <f>H157+H145</f>
        <v>#REF!</v>
      </c>
      <c r="I159" s="304" t="e">
        <f>I157+I145</f>
        <v>#REF!</v>
      </c>
      <c r="J159" s="304" t="e">
        <f>J157+J145</f>
        <v>#REF!</v>
      </c>
      <c r="K159" s="304" t="e">
        <f aca="true" t="shared" si="68" ref="K159:Q159">(J160-K160)+K145</f>
        <v>#REF!</v>
      </c>
      <c r="L159" s="304" t="e">
        <f t="shared" si="68"/>
        <v>#REF!</v>
      </c>
      <c r="M159" s="304" t="e">
        <f t="shared" si="68"/>
        <v>#REF!</v>
      </c>
      <c r="N159" s="304" t="e">
        <f t="shared" si="68"/>
        <v>#REF!</v>
      </c>
      <c r="O159" s="304" t="e">
        <f t="shared" si="68"/>
        <v>#REF!</v>
      </c>
      <c r="P159" s="304" t="e">
        <f t="shared" si="68"/>
        <v>#REF!</v>
      </c>
      <c r="Q159" s="304" t="e">
        <f t="shared" si="68"/>
        <v>#REF!</v>
      </c>
    </row>
    <row r="160" spans="2:17" s="302" customFormat="1" ht="38.25">
      <c r="B160" s="664"/>
      <c r="C160" s="301" t="s">
        <v>70</v>
      </c>
      <c r="D160" s="317" t="s">
        <v>472</v>
      </c>
      <c r="E160" s="318" t="e">
        <f>E154-E156</f>
        <v>#REF!</v>
      </c>
      <c r="F160" s="318" t="e">
        <f>F154-F156</f>
        <v>#REF!</v>
      </c>
      <c r="G160" s="318" t="e">
        <f>G154-G156</f>
        <v>#REF!</v>
      </c>
      <c r="H160" s="318" t="e">
        <f>H154-H156</f>
        <v>#REF!</v>
      </c>
      <c r="I160" s="318" t="e">
        <f aca="true" t="shared" si="69" ref="I160:Q160">I154-I156</f>
        <v>#REF!</v>
      </c>
      <c r="J160" s="341" t="e">
        <f t="shared" si="69"/>
        <v>#REF!</v>
      </c>
      <c r="K160" s="341" t="e">
        <f t="shared" si="69"/>
        <v>#REF!</v>
      </c>
      <c r="L160" s="341" t="e">
        <f t="shared" si="69"/>
        <v>#REF!</v>
      </c>
      <c r="M160" s="341" t="e">
        <f t="shared" si="69"/>
        <v>#REF!</v>
      </c>
      <c r="N160" s="341" t="e">
        <f t="shared" si="69"/>
        <v>#REF!</v>
      </c>
      <c r="O160" s="341" t="e">
        <f t="shared" si="69"/>
        <v>#REF!</v>
      </c>
      <c r="P160" s="341" t="e">
        <f t="shared" si="69"/>
        <v>#REF!</v>
      </c>
      <c r="Q160" s="341" t="e">
        <f t="shared" si="69"/>
        <v>#REF!</v>
      </c>
    </row>
    <row r="161" spans="2:17" s="302" customFormat="1" ht="51">
      <c r="B161" s="300"/>
      <c r="C161" s="301" t="s">
        <v>186</v>
      </c>
      <c r="D161" s="317" t="s">
        <v>472</v>
      </c>
      <c r="E161" s="319" t="e">
        <f>E141</f>
        <v>#REF!</v>
      </c>
      <c r="F161" s="319" t="e">
        <f>F141</f>
        <v>#REF!</v>
      </c>
      <c r="G161" s="319" t="e">
        <f>G141</f>
        <v>#REF!</v>
      </c>
      <c r="H161" s="319" t="e">
        <f>H160+H152</f>
        <v>#REF!</v>
      </c>
      <c r="I161" s="319" t="e">
        <f aca="true" t="shared" si="70" ref="I161:Q161">I160+I152</f>
        <v>#REF!</v>
      </c>
      <c r="J161" s="319" t="e">
        <f t="shared" si="70"/>
        <v>#REF!</v>
      </c>
      <c r="K161" s="319" t="e">
        <f t="shared" si="70"/>
        <v>#REF!</v>
      </c>
      <c r="L161" s="319" t="e">
        <f t="shared" si="70"/>
        <v>#REF!</v>
      </c>
      <c r="M161" s="319" t="e">
        <f t="shared" si="70"/>
        <v>#REF!</v>
      </c>
      <c r="N161" s="319" t="e">
        <f t="shared" si="70"/>
        <v>#REF!</v>
      </c>
      <c r="O161" s="319" t="e">
        <f t="shared" si="70"/>
        <v>#REF!</v>
      </c>
      <c r="P161" s="319" t="e">
        <f t="shared" si="70"/>
        <v>#REF!</v>
      </c>
      <c r="Q161" s="319" t="e">
        <f t="shared" si="70"/>
        <v>#REF!</v>
      </c>
    </row>
    <row r="162" spans="2:17" ht="12.75">
      <c r="B162" s="259"/>
      <c r="C162" s="266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67"/>
    </row>
    <row r="163" spans="2:17" ht="13.5" thickBot="1">
      <c r="B163" s="65"/>
      <c r="C163" s="276" t="s">
        <v>68</v>
      </c>
      <c r="D163" s="273" t="s">
        <v>486</v>
      </c>
      <c r="E163" s="273"/>
      <c r="F163" s="273"/>
      <c r="G163" s="273"/>
      <c r="H163" s="274" t="e">
        <f aca="true" t="shared" si="71" ref="H163:Q163">H156*1.137</f>
        <v>#REF!</v>
      </c>
      <c r="I163" s="274" t="e">
        <f t="shared" si="71"/>
        <v>#REF!</v>
      </c>
      <c r="J163" s="274" t="e">
        <f t="shared" si="71"/>
        <v>#REF!</v>
      </c>
      <c r="K163" s="274" t="e">
        <f t="shared" si="71"/>
        <v>#REF!</v>
      </c>
      <c r="L163" s="274" t="e">
        <f t="shared" si="71"/>
        <v>#REF!</v>
      </c>
      <c r="M163" s="274" t="e">
        <f t="shared" si="71"/>
        <v>#REF!</v>
      </c>
      <c r="N163" s="274" t="e">
        <f t="shared" si="71"/>
        <v>#REF!</v>
      </c>
      <c r="O163" s="274" t="e">
        <f t="shared" si="71"/>
        <v>#REF!</v>
      </c>
      <c r="P163" s="274" t="e">
        <f t="shared" si="71"/>
        <v>#REF!</v>
      </c>
      <c r="Q163" s="275" t="e">
        <f t="shared" si="71"/>
        <v>#REF!</v>
      </c>
    </row>
    <row r="164" spans="2:17" ht="13.5" thickBot="1">
      <c r="B164" s="225"/>
      <c r="C164" s="277" t="s">
        <v>389</v>
      </c>
      <c r="D164" s="60"/>
      <c r="E164" s="60"/>
      <c r="F164" s="60"/>
      <c r="G164" s="60"/>
      <c r="H164" s="229" t="e">
        <f aca="true" t="shared" si="72" ref="H164:Q164">H132+H138+H151+H163</f>
        <v>#REF!</v>
      </c>
      <c r="I164" s="229" t="e">
        <f t="shared" si="72"/>
        <v>#REF!</v>
      </c>
      <c r="J164" s="229" t="e">
        <f t="shared" si="72"/>
        <v>#REF!</v>
      </c>
      <c r="K164" s="229" t="e">
        <f t="shared" si="72"/>
        <v>#REF!</v>
      </c>
      <c r="L164" s="229" t="e">
        <f t="shared" si="72"/>
        <v>#REF!</v>
      </c>
      <c r="M164" s="229" t="e">
        <f t="shared" si="72"/>
        <v>#REF!</v>
      </c>
      <c r="N164" s="229" t="e">
        <f t="shared" si="72"/>
        <v>#REF!</v>
      </c>
      <c r="O164" s="229" t="e">
        <f t="shared" si="72"/>
        <v>#REF!</v>
      </c>
      <c r="P164" s="229" t="e">
        <f t="shared" si="72"/>
        <v>#REF!</v>
      </c>
      <c r="Q164" s="230" t="e">
        <f t="shared" si="72"/>
        <v>#REF!</v>
      </c>
    </row>
    <row r="165" spans="2:17" ht="12.75">
      <c r="B165" s="225"/>
      <c r="C165" s="226"/>
      <c r="D165" s="92"/>
      <c r="E165" s="125"/>
      <c r="F165" s="125"/>
      <c r="G165" s="125"/>
      <c r="H165" s="159"/>
      <c r="I165" s="159"/>
      <c r="J165" s="159"/>
      <c r="K165" s="159"/>
      <c r="L165" s="159"/>
      <c r="M165" s="159"/>
      <c r="N165" s="159"/>
      <c r="O165" s="159"/>
      <c r="P165" s="159"/>
      <c r="Q165" s="227"/>
    </row>
    <row r="166" spans="2:17" ht="12.75">
      <c r="B166" s="225"/>
      <c r="C166" s="226"/>
      <c r="D166" s="92"/>
      <c r="E166" s="125"/>
      <c r="F166" s="125"/>
      <c r="G166" s="125"/>
      <c r="H166" s="159"/>
      <c r="I166" s="159"/>
      <c r="J166" s="159"/>
      <c r="K166" s="159"/>
      <c r="L166" s="159"/>
      <c r="M166" s="159"/>
      <c r="N166" s="159"/>
      <c r="O166" s="159"/>
      <c r="P166" s="159"/>
      <c r="Q166" s="227"/>
    </row>
    <row r="167" spans="2:17" ht="13.5" thickBot="1">
      <c r="B167" s="225"/>
      <c r="C167" s="226"/>
      <c r="D167" s="92"/>
      <c r="E167" s="125"/>
      <c r="F167" s="125"/>
      <c r="G167" s="125"/>
      <c r="H167" s="159"/>
      <c r="I167" s="159"/>
      <c r="J167" s="159"/>
      <c r="K167" s="159"/>
      <c r="L167" s="159"/>
      <c r="M167" s="159"/>
      <c r="N167" s="159"/>
      <c r="O167" s="159"/>
      <c r="P167" s="159"/>
      <c r="Q167" s="227"/>
    </row>
    <row r="168" spans="2:17" ht="26.25" thickBot="1">
      <c r="B168" s="173"/>
      <c r="C168" s="76" t="s">
        <v>22</v>
      </c>
      <c r="D168" s="166" t="s">
        <v>535</v>
      </c>
      <c r="E168" s="62" t="e">
        <f>E169+E173</f>
        <v>#REF!</v>
      </c>
      <c r="F168" s="62" t="e">
        <f aca="true" t="shared" si="73" ref="F168:Q168">F169+F173</f>
        <v>#REF!</v>
      </c>
      <c r="G168" s="62" t="e">
        <f t="shared" si="73"/>
        <v>#REF!</v>
      </c>
      <c r="H168" s="62" t="e">
        <f t="shared" si="73"/>
        <v>#REF!</v>
      </c>
      <c r="I168" s="62" t="e">
        <f t="shared" si="73"/>
        <v>#REF!</v>
      </c>
      <c r="J168" s="62" t="e">
        <f t="shared" si="73"/>
        <v>#REF!</v>
      </c>
      <c r="K168" s="62" t="e">
        <f t="shared" si="73"/>
        <v>#REF!</v>
      </c>
      <c r="L168" s="62" t="e">
        <f t="shared" si="73"/>
        <v>#REF!</v>
      </c>
      <c r="M168" s="62" t="e">
        <f t="shared" si="73"/>
        <v>#REF!</v>
      </c>
      <c r="N168" s="62" t="e">
        <f t="shared" si="73"/>
        <v>#REF!</v>
      </c>
      <c r="O168" s="62" t="e">
        <f t="shared" si="73"/>
        <v>#REF!</v>
      </c>
      <c r="P168" s="62" t="e">
        <f t="shared" si="73"/>
        <v>#REF!</v>
      </c>
      <c r="Q168" s="63" t="e">
        <f t="shared" si="73"/>
        <v>#REF!</v>
      </c>
    </row>
    <row r="169" spans="2:17" ht="26.25" thickBot="1">
      <c r="B169" s="174"/>
      <c r="C169" s="76" t="s">
        <v>23</v>
      </c>
      <c r="D169" s="11" t="s">
        <v>535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2" t="e">
        <f>G169*1.01</f>
        <v>#REF!</v>
      </c>
      <c r="I169" s="162" t="e">
        <f>H169*1.01</f>
        <v>#REF!</v>
      </c>
      <c r="J169" s="162" t="e">
        <f>I169*1.01</f>
        <v>#REF!</v>
      </c>
      <c r="K169" s="162" t="e">
        <f aca="true" t="shared" si="75" ref="K169:Q169">J169*1.01</f>
        <v>#REF!</v>
      </c>
      <c r="L169" s="162" t="e">
        <f t="shared" si="75"/>
        <v>#REF!</v>
      </c>
      <c r="M169" s="162" t="e">
        <f t="shared" si="75"/>
        <v>#REF!</v>
      </c>
      <c r="N169" s="162" t="e">
        <f t="shared" si="75"/>
        <v>#REF!</v>
      </c>
      <c r="O169" s="162" t="e">
        <f t="shared" si="75"/>
        <v>#REF!</v>
      </c>
      <c r="P169" s="162" t="e">
        <f t="shared" si="75"/>
        <v>#REF!</v>
      </c>
      <c r="Q169" s="162" t="e">
        <f t="shared" si="75"/>
        <v>#REF!</v>
      </c>
    </row>
    <row r="170" spans="2:17" ht="26.25" thickBot="1">
      <c r="B170" s="174"/>
      <c r="C170" s="76" t="s">
        <v>569</v>
      </c>
      <c r="D170" s="11" t="s">
        <v>535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2" t="e">
        <f>H169*0.249</f>
        <v>#REF!</v>
      </c>
      <c r="I170" s="335" t="e">
        <f>I169*0.3</f>
        <v>#REF!</v>
      </c>
      <c r="J170" s="335" t="e">
        <f>J169</f>
        <v>#REF!</v>
      </c>
      <c r="K170" s="335" t="e">
        <f aca="true" t="shared" si="76" ref="K170:Q170">K169</f>
        <v>#REF!</v>
      </c>
      <c r="L170" s="335" t="e">
        <f t="shared" si="76"/>
        <v>#REF!</v>
      </c>
      <c r="M170" s="335" t="e">
        <f t="shared" si="76"/>
        <v>#REF!</v>
      </c>
      <c r="N170" s="335" t="e">
        <f t="shared" si="76"/>
        <v>#REF!</v>
      </c>
      <c r="O170" s="335" t="e">
        <f t="shared" si="76"/>
        <v>#REF!</v>
      </c>
      <c r="P170" s="335" t="e">
        <f t="shared" si="76"/>
        <v>#REF!</v>
      </c>
      <c r="Q170" s="335" t="e">
        <f t="shared" si="76"/>
        <v>#REF!</v>
      </c>
    </row>
    <row r="171" spans="2:17" ht="26.25" thickBot="1">
      <c r="B171" s="174"/>
      <c r="C171" s="262" t="s">
        <v>536</v>
      </c>
      <c r="D171" s="11" t="s">
        <v>535</v>
      </c>
      <c r="E171" s="3"/>
      <c r="F171" s="3"/>
      <c r="G171" s="162" t="e">
        <f>G170*0.1</f>
        <v>#REF!</v>
      </c>
      <c r="H171" s="162" t="e">
        <f>H170*0.1</f>
        <v>#REF!</v>
      </c>
      <c r="I171" s="162" t="e">
        <f aca="true" t="shared" si="77" ref="I171:O171">I170*0.1</f>
        <v>#REF!</v>
      </c>
      <c r="J171" s="162" t="e">
        <f>J170*0.07</f>
        <v>#REF!</v>
      </c>
      <c r="K171" s="162" t="e">
        <f t="shared" si="77"/>
        <v>#REF!</v>
      </c>
      <c r="L171" s="162" t="e">
        <f t="shared" si="77"/>
        <v>#REF!</v>
      </c>
      <c r="M171" s="162" t="e">
        <f t="shared" si="77"/>
        <v>#REF!</v>
      </c>
      <c r="N171" s="162" t="e">
        <f t="shared" si="77"/>
        <v>#REF!</v>
      </c>
      <c r="O171" s="162" t="e">
        <f t="shared" si="77"/>
        <v>#REF!</v>
      </c>
      <c r="P171" s="162" t="e">
        <f>P170*0.1</f>
        <v>#REF!</v>
      </c>
      <c r="Q171" s="162" t="e">
        <f>Q170*0.1</f>
        <v>#REF!</v>
      </c>
    </row>
    <row r="172" spans="2:17" ht="26.25" thickBot="1">
      <c r="B172" s="174"/>
      <c r="C172" s="261" t="s">
        <v>24</v>
      </c>
      <c r="D172" s="97" t="s">
        <v>535</v>
      </c>
      <c r="E172" s="112"/>
      <c r="F172" s="112"/>
      <c r="G172" s="112" t="e">
        <f>G169</f>
        <v>#REF!</v>
      </c>
      <c r="H172" s="163" t="e">
        <f>H169-H171</f>
        <v>#REF!</v>
      </c>
      <c r="I172" s="163" t="e">
        <f aca="true" t="shared" si="78" ref="I172:Q172">I169-I171</f>
        <v>#REF!</v>
      </c>
      <c r="J172" s="163" t="e">
        <f t="shared" si="78"/>
        <v>#REF!</v>
      </c>
      <c r="K172" s="163" t="e">
        <f t="shared" si="78"/>
        <v>#REF!</v>
      </c>
      <c r="L172" s="163" t="e">
        <f t="shared" si="78"/>
        <v>#REF!</v>
      </c>
      <c r="M172" s="163" t="e">
        <f t="shared" si="78"/>
        <v>#REF!</v>
      </c>
      <c r="N172" s="163" t="e">
        <f t="shared" si="78"/>
        <v>#REF!</v>
      </c>
      <c r="O172" s="163" t="e">
        <f t="shared" si="78"/>
        <v>#REF!</v>
      </c>
      <c r="P172" s="163" t="e">
        <f t="shared" si="78"/>
        <v>#REF!</v>
      </c>
      <c r="Q172" s="167" t="e">
        <f t="shared" si="78"/>
        <v>#REF!</v>
      </c>
    </row>
    <row r="173" spans="2:17" ht="16.5" thickBot="1">
      <c r="B173" s="174"/>
      <c r="C173" s="76" t="s">
        <v>570</v>
      </c>
      <c r="D173" s="11" t="s">
        <v>535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2" t="e">
        <f>G173*1.01</f>
        <v>#REF!</v>
      </c>
      <c r="I173" s="162" t="e">
        <f>H173*1.015</f>
        <v>#REF!</v>
      </c>
      <c r="J173" s="162" t="e">
        <f>I173</f>
        <v>#REF!</v>
      </c>
      <c r="K173" s="162" t="e">
        <f>J173</f>
        <v>#REF!</v>
      </c>
      <c r="L173" s="162" t="e">
        <f aca="true" t="shared" si="80" ref="L173:Q173">K173</f>
        <v>#REF!</v>
      </c>
      <c r="M173" s="162" t="e">
        <f t="shared" si="80"/>
        <v>#REF!</v>
      </c>
      <c r="N173" s="162" t="e">
        <f t="shared" si="80"/>
        <v>#REF!</v>
      </c>
      <c r="O173" s="162" t="e">
        <f t="shared" si="80"/>
        <v>#REF!</v>
      </c>
      <c r="P173" s="162" t="e">
        <f t="shared" si="80"/>
        <v>#REF!</v>
      </c>
      <c r="Q173" s="162" t="e">
        <f t="shared" si="80"/>
        <v>#REF!</v>
      </c>
    </row>
    <row r="174" spans="2:17" ht="26.25" thickBot="1">
      <c r="B174" s="174"/>
      <c r="C174" s="76" t="s">
        <v>574</v>
      </c>
      <c r="D174" s="11" t="s">
        <v>535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2" t="e">
        <f>H173*0.115</f>
        <v>#REF!</v>
      </c>
      <c r="I174" s="162" t="e">
        <f>I173*0.61</f>
        <v>#REF!</v>
      </c>
      <c r="J174" s="162" t="e">
        <f aca="true" t="shared" si="81" ref="J174:Q174">J173</f>
        <v>#REF!</v>
      </c>
      <c r="K174" s="162" t="e">
        <f t="shared" si="81"/>
        <v>#REF!</v>
      </c>
      <c r="L174" s="162" t="e">
        <f t="shared" si="81"/>
        <v>#REF!</v>
      </c>
      <c r="M174" s="162" t="e">
        <f t="shared" si="81"/>
        <v>#REF!</v>
      </c>
      <c r="N174" s="162" t="e">
        <f t="shared" si="81"/>
        <v>#REF!</v>
      </c>
      <c r="O174" s="162" t="e">
        <f t="shared" si="81"/>
        <v>#REF!</v>
      </c>
      <c r="P174" s="162" t="e">
        <f t="shared" si="81"/>
        <v>#REF!</v>
      </c>
      <c r="Q174" s="162" t="e">
        <f t="shared" si="81"/>
        <v>#REF!</v>
      </c>
    </row>
    <row r="175" spans="2:17" ht="26.25" thickBot="1">
      <c r="B175" s="174"/>
      <c r="C175" s="262" t="s">
        <v>373</v>
      </c>
      <c r="D175" s="11" t="s">
        <v>535</v>
      </c>
      <c r="E175" s="3"/>
      <c r="F175" s="3"/>
      <c r="G175" s="162" t="e">
        <f>G174*0.1</f>
        <v>#REF!</v>
      </c>
      <c r="H175" s="162" t="e">
        <f aca="true" t="shared" si="82" ref="H175:Q175">H174*0.1</f>
        <v>#REF!</v>
      </c>
      <c r="I175" s="162" t="e">
        <f t="shared" si="82"/>
        <v>#REF!</v>
      </c>
      <c r="J175" s="162" t="e">
        <f>J174*0.07</f>
        <v>#REF!</v>
      </c>
      <c r="K175" s="162" t="e">
        <f t="shared" si="82"/>
        <v>#REF!</v>
      </c>
      <c r="L175" s="162" t="e">
        <f t="shared" si="82"/>
        <v>#REF!</v>
      </c>
      <c r="M175" s="162" t="e">
        <f t="shared" si="82"/>
        <v>#REF!</v>
      </c>
      <c r="N175" s="162" t="e">
        <f t="shared" si="82"/>
        <v>#REF!</v>
      </c>
      <c r="O175" s="162" t="e">
        <f t="shared" si="82"/>
        <v>#REF!</v>
      </c>
      <c r="P175" s="162" t="e">
        <f t="shared" si="82"/>
        <v>#REF!</v>
      </c>
      <c r="Q175" s="162" t="e">
        <f t="shared" si="82"/>
        <v>#REF!</v>
      </c>
    </row>
    <row r="176" spans="2:17" ht="26.25" thickBot="1">
      <c r="B176" s="175"/>
      <c r="C176" s="261" t="s">
        <v>25</v>
      </c>
      <c r="D176" s="11" t="s">
        <v>535</v>
      </c>
      <c r="E176" s="168"/>
      <c r="F176" s="168"/>
      <c r="G176" s="168" t="e">
        <f>G173</f>
        <v>#REF!</v>
      </c>
      <c r="H176" s="169" t="e">
        <f>H173-H175</f>
        <v>#REF!</v>
      </c>
      <c r="I176" s="169" t="e">
        <f aca="true" t="shared" si="83" ref="I176:Q176">I173-I175</f>
        <v>#REF!</v>
      </c>
      <c r="J176" s="169" t="e">
        <f t="shared" si="83"/>
        <v>#REF!</v>
      </c>
      <c r="K176" s="169" t="e">
        <f t="shared" si="83"/>
        <v>#REF!</v>
      </c>
      <c r="L176" s="169" t="e">
        <f t="shared" si="83"/>
        <v>#REF!</v>
      </c>
      <c r="M176" s="169" t="e">
        <f t="shared" si="83"/>
        <v>#REF!</v>
      </c>
      <c r="N176" s="169" t="e">
        <f t="shared" si="83"/>
        <v>#REF!</v>
      </c>
      <c r="O176" s="169" t="e">
        <f t="shared" si="83"/>
        <v>#REF!</v>
      </c>
      <c r="P176" s="169" t="e">
        <f t="shared" si="83"/>
        <v>#REF!</v>
      </c>
      <c r="Q176" s="170" t="e">
        <f t="shared" si="83"/>
        <v>#REF!</v>
      </c>
    </row>
    <row r="177" spans="2:17" s="185" customFormat="1" ht="15.75">
      <c r="B177" s="186"/>
      <c r="C177" s="286" t="s">
        <v>323</v>
      </c>
      <c r="D177" s="287" t="s">
        <v>535</v>
      </c>
      <c r="E177" s="187"/>
      <c r="F177" s="187"/>
      <c r="G177" s="188" t="e">
        <f>G170+G174</f>
        <v>#REF!</v>
      </c>
      <c r="H177" s="188" t="e">
        <f>H170+H174</f>
        <v>#REF!</v>
      </c>
      <c r="I177" s="188" t="e">
        <f>I170+I174</f>
        <v>#REF!</v>
      </c>
      <c r="J177" s="188" t="e">
        <f>J172+J176</f>
        <v>#REF!</v>
      </c>
      <c r="K177" s="188" t="e">
        <f aca="true" t="shared" si="84" ref="K177:Q177">K172+K176</f>
        <v>#REF!</v>
      </c>
      <c r="L177" s="188" t="e">
        <f t="shared" si="84"/>
        <v>#REF!</v>
      </c>
      <c r="M177" s="188" t="e">
        <f t="shared" si="84"/>
        <v>#REF!</v>
      </c>
      <c r="N177" s="188" t="e">
        <f t="shared" si="84"/>
        <v>#REF!</v>
      </c>
      <c r="O177" s="188" t="e">
        <f t="shared" si="84"/>
        <v>#REF!</v>
      </c>
      <c r="P177" s="188" t="e">
        <f t="shared" si="84"/>
        <v>#REF!</v>
      </c>
      <c r="Q177" s="188" t="e">
        <f t="shared" si="84"/>
        <v>#REF!</v>
      </c>
    </row>
    <row r="178" spans="2:17" s="185" customFormat="1" ht="25.5">
      <c r="B178" s="186"/>
      <c r="C178" s="370" t="s">
        <v>584</v>
      </c>
      <c r="D178" s="288" t="s">
        <v>535</v>
      </c>
      <c r="E178" s="289"/>
      <c r="F178" s="289"/>
      <c r="G178" s="289" t="e">
        <f>G176+G172</f>
        <v>#REF!</v>
      </c>
      <c r="H178" s="290" t="e">
        <f>H172+H176</f>
        <v>#REF!</v>
      </c>
      <c r="I178" s="290" t="e">
        <f aca="true" t="shared" si="85" ref="I178:Q178">I172+I176</f>
        <v>#REF!</v>
      </c>
      <c r="J178" s="290" t="e">
        <f t="shared" si="85"/>
        <v>#REF!</v>
      </c>
      <c r="K178" s="290" t="e">
        <f t="shared" si="85"/>
        <v>#REF!</v>
      </c>
      <c r="L178" s="290" t="e">
        <f t="shared" si="85"/>
        <v>#REF!</v>
      </c>
      <c r="M178" s="290" t="e">
        <f t="shared" si="85"/>
        <v>#REF!</v>
      </c>
      <c r="N178" s="290" t="e">
        <f t="shared" si="85"/>
        <v>#REF!</v>
      </c>
      <c r="O178" s="290" t="e">
        <f t="shared" si="85"/>
        <v>#REF!</v>
      </c>
      <c r="P178" s="290" t="e">
        <f t="shared" si="85"/>
        <v>#REF!</v>
      </c>
      <c r="Q178" s="290" t="e">
        <f t="shared" si="85"/>
        <v>#REF!</v>
      </c>
    </row>
    <row r="179" spans="2:17" s="185" customFormat="1" ht="15.75">
      <c r="B179" s="186"/>
      <c r="C179" s="294" t="s">
        <v>543</v>
      </c>
      <c r="D179" s="288" t="s">
        <v>535</v>
      </c>
      <c r="E179" s="289"/>
      <c r="F179" s="289"/>
      <c r="G179" s="289"/>
      <c r="H179" s="290" t="e">
        <f>(H171+H175)-(G171+G175)</f>
        <v>#REF!</v>
      </c>
      <c r="I179" s="290" t="e">
        <f>(I171+I175)-(H171+H175)</f>
        <v>#REF!</v>
      </c>
      <c r="J179" s="290" t="e">
        <f>(J171+J175)-(I171+I175)</f>
        <v>#REF!</v>
      </c>
      <c r="K179" s="290" t="e">
        <f>(K171+K175)-(J171+J175)</f>
        <v>#REF!</v>
      </c>
      <c r="L179" s="290" t="e">
        <f aca="true" t="shared" si="86" ref="L179:Q179">(L171+L175)-(K171+K175)</f>
        <v>#REF!</v>
      </c>
      <c r="M179" s="290" t="e">
        <f t="shared" si="86"/>
        <v>#REF!</v>
      </c>
      <c r="N179" s="290" t="e">
        <f t="shared" si="86"/>
        <v>#REF!</v>
      </c>
      <c r="O179" s="290" t="e">
        <f t="shared" si="86"/>
        <v>#REF!</v>
      </c>
      <c r="P179" s="290" t="e">
        <f t="shared" si="86"/>
        <v>#REF!</v>
      </c>
      <c r="Q179" s="290" t="e">
        <f t="shared" si="86"/>
        <v>#REF!</v>
      </c>
    </row>
    <row r="180" spans="2:17" s="185" customFormat="1" ht="15.75">
      <c r="B180" s="186"/>
      <c r="C180" s="291" t="s">
        <v>324</v>
      </c>
      <c r="D180" s="292" t="s">
        <v>14</v>
      </c>
      <c r="E180" s="107"/>
      <c r="F180" s="107"/>
      <c r="G180" s="107"/>
      <c r="H180" s="293" t="e">
        <f>H177/H178*1.055</f>
        <v>#REF!</v>
      </c>
      <c r="I180" s="293" t="e">
        <f>I177/I178*1.1</f>
        <v>#REF!</v>
      </c>
      <c r="J180" s="293" t="e">
        <f>J177/J178*1.08</f>
        <v>#REF!</v>
      </c>
      <c r="K180" s="293" t="e">
        <f>K177/K178*1.015</f>
        <v>#REF!</v>
      </c>
      <c r="L180" s="293" t="e">
        <f aca="true" t="shared" si="87" ref="L180:Q180">L177/L178</f>
        <v>#REF!</v>
      </c>
      <c r="M180" s="293" t="e">
        <f t="shared" si="87"/>
        <v>#REF!</v>
      </c>
      <c r="N180" s="293" t="e">
        <f t="shared" si="87"/>
        <v>#REF!</v>
      </c>
      <c r="O180" s="293" t="e">
        <f t="shared" si="87"/>
        <v>#REF!</v>
      </c>
      <c r="P180" s="293" t="e">
        <f t="shared" si="87"/>
        <v>#REF!</v>
      </c>
      <c r="Q180" s="293" t="e">
        <f t="shared" si="87"/>
        <v>#REF!</v>
      </c>
    </row>
    <row r="181" spans="2:17" ht="26.25" thickBot="1">
      <c r="B181" s="73"/>
      <c r="C181" s="190" t="s">
        <v>325</v>
      </c>
      <c r="D181" s="189" t="s">
        <v>535</v>
      </c>
      <c r="E181" s="191"/>
      <c r="F181" s="191"/>
      <c r="G181" s="191"/>
      <c r="H181" s="192" t="e">
        <f>H178-H177</f>
        <v>#REF!</v>
      </c>
      <c r="I181" s="192" t="e">
        <f aca="true" t="shared" si="88" ref="I181:Q181">I178-I177</f>
        <v>#REF!</v>
      </c>
      <c r="J181" s="192" t="e">
        <f t="shared" si="88"/>
        <v>#REF!</v>
      </c>
      <c r="K181" s="192" t="e">
        <f t="shared" si="88"/>
        <v>#REF!</v>
      </c>
      <c r="L181" s="192" t="e">
        <f t="shared" si="88"/>
        <v>#REF!</v>
      </c>
      <c r="M181" s="192" t="e">
        <f t="shared" si="88"/>
        <v>#REF!</v>
      </c>
      <c r="N181" s="192" t="e">
        <f t="shared" si="88"/>
        <v>#REF!</v>
      </c>
      <c r="O181" s="192" t="e">
        <f t="shared" si="88"/>
        <v>#REF!</v>
      </c>
      <c r="P181" s="192" t="e">
        <f t="shared" si="88"/>
        <v>#REF!</v>
      </c>
      <c r="Q181" s="192" t="e">
        <f t="shared" si="88"/>
        <v>#REF!</v>
      </c>
    </row>
    <row r="182" spans="2:17" ht="26.25" thickBot="1">
      <c r="B182" s="3"/>
      <c r="C182" s="76" t="s">
        <v>578</v>
      </c>
      <c r="D182" s="189" t="s">
        <v>535</v>
      </c>
      <c r="E182" s="3"/>
      <c r="F182" s="3"/>
      <c r="G182" s="3"/>
      <c r="H182" s="85" t="e">
        <f>H171+H175</f>
        <v>#REF!</v>
      </c>
      <c r="I182" s="85" t="e">
        <f aca="true" t="shared" si="89" ref="I182:Q182">I171+I175</f>
        <v>#REF!</v>
      </c>
      <c r="J182" s="85" t="e">
        <f t="shared" si="89"/>
        <v>#REF!</v>
      </c>
      <c r="K182" s="85" t="e">
        <f t="shared" si="89"/>
        <v>#REF!</v>
      </c>
      <c r="L182" s="85" t="e">
        <f t="shared" si="89"/>
        <v>#REF!</v>
      </c>
      <c r="M182" s="85" t="e">
        <f t="shared" si="89"/>
        <v>#REF!</v>
      </c>
      <c r="N182" s="85" t="e">
        <f t="shared" si="89"/>
        <v>#REF!</v>
      </c>
      <c r="O182" s="85" t="e">
        <f t="shared" si="89"/>
        <v>#REF!</v>
      </c>
      <c r="P182" s="85" t="e">
        <f t="shared" si="89"/>
        <v>#REF!</v>
      </c>
      <c r="Q182" s="85" t="e">
        <f t="shared" si="89"/>
        <v>#REF!</v>
      </c>
    </row>
    <row r="183" spans="2:17" ht="16.5" thickBot="1">
      <c r="B183" s="3"/>
      <c r="C183" s="171" t="s">
        <v>579</v>
      </c>
      <c r="D183" s="189" t="s">
        <v>535</v>
      </c>
      <c r="E183" s="3"/>
      <c r="F183" s="3"/>
      <c r="G183" s="3"/>
      <c r="H183" s="85" t="e">
        <f>H182</f>
        <v>#REF!</v>
      </c>
      <c r="I183" s="85" t="e">
        <f>I182-H182</f>
        <v>#REF!</v>
      </c>
      <c r="J183" s="85" t="e">
        <f>J182-I182</f>
        <v>#REF!</v>
      </c>
      <c r="K183" s="85" t="e">
        <f>K182-J182</f>
        <v>#REF!</v>
      </c>
      <c r="L183" s="85" t="e">
        <f>L182-K182</f>
        <v>#REF!</v>
      </c>
      <c r="M183" s="85" t="e">
        <f>M182-L182</f>
        <v>#REF!</v>
      </c>
      <c r="N183" s="85">
        <v>0</v>
      </c>
      <c r="O183" s="85">
        <v>0</v>
      </c>
      <c r="P183" s="85">
        <v>0</v>
      </c>
      <c r="Q183" s="85">
        <v>0</v>
      </c>
    </row>
    <row r="184" spans="2:17" ht="15.75">
      <c r="B184" s="3"/>
      <c r="C184" s="171"/>
      <c r="D184" s="260"/>
      <c r="E184" s="3"/>
      <c r="F184" s="3"/>
      <c r="G184" s="3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8" ht="12.75">
      <c r="B185" s="3"/>
      <c r="C185" s="172" t="s">
        <v>396</v>
      </c>
      <c r="D185" s="160" t="s">
        <v>486</v>
      </c>
      <c r="E185" s="160"/>
      <c r="F185" s="160"/>
      <c r="G185" s="160"/>
      <c r="H185" s="161" t="e">
        <f aca="true" t="shared" si="90" ref="H185:Q185">H119+H164</f>
        <v>#REF!</v>
      </c>
      <c r="I185" s="161" t="e">
        <f t="shared" si="90"/>
        <v>#REF!</v>
      </c>
      <c r="J185" s="161" t="e">
        <f t="shared" si="90"/>
        <v>#REF!</v>
      </c>
      <c r="K185" s="161" t="e">
        <f t="shared" si="90"/>
        <v>#REF!</v>
      </c>
      <c r="L185" s="161" t="e">
        <f t="shared" si="90"/>
        <v>#REF!</v>
      </c>
      <c r="M185" s="161" t="e">
        <f t="shared" si="90"/>
        <v>#REF!</v>
      </c>
      <c r="N185" s="161" t="e">
        <f t="shared" si="90"/>
        <v>#REF!</v>
      </c>
      <c r="O185" s="161" t="e">
        <f t="shared" si="90"/>
        <v>#REF!</v>
      </c>
      <c r="P185" s="161" t="e">
        <f t="shared" si="90"/>
        <v>#REF!</v>
      </c>
      <c r="Q185" s="161" t="e">
        <f t="shared" si="90"/>
        <v>#REF!</v>
      </c>
      <c r="R185" s="81"/>
    </row>
    <row r="186" spans="3:18" ht="12.75">
      <c r="C186" s="82"/>
      <c r="D186" s="83"/>
      <c r="E186" s="83"/>
      <c r="F186" s="83"/>
      <c r="G186" s="83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1"/>
    </row>
    <row r="187" spans="3:18" ht="12.75">
      <c r="C187" s="82"/>
      <c r="D187" s="83"/>
      <c r="E187" s="83"/>
      <c r="F187" s="83"/>
      <c r="G187" s="83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1"/>
    </row>
    <row r="188" spans="5:17" ht="13.5" thickBot="1">
      <c r="E188" s="58">
        <v>2007</v>
      </c>
      <c r="F188" s="58">
        <v>2008</v>
      </c>
      <c r="G188" s="58">
        <v>2009</v>
      </c>
      <c r="H188" s="58">
        <v>2010</v>
      </c>
      <c r="I188" s="58">
        <v>2011</v>
      </c>
      <c r="J188" s="58">
        <v>2012</v>
      </c>
      <c r="K188" s="58">
        <v>2013</v>
      </c>
      <c r="L188" s="58">
        <v>2014</v>
      </c>
      <c r="M188" s="58">
        <v>2015</v>
      </c>
      <c r="N188" s="58">
        <v>2016</v>
      </c>
      <c r="O188" s="58">
        <v>2017</v>
      </c>
      <c r="P188" s="58">
        <v>2018</v>
      </c>
      <c r="Q188" s="58">
        <v>2019</v>
      </c>
    </row>
    <row r="189" spans="3:17" ht="13.5" thickBot="1">
      <c r="C189" s="354" t="s">
        <v>423</v>
      </c>
      <c r="D189" s="355" t="s">
        <v>424</v>
      </c>
      <c r="E189" s="355"/>
      <c r="F189" s="355"/>
      <c r="G189" s="355"/>
      <c r="H189" s="358" t="e">
        <f>H6</f>
        <v>#REF!</v>
      </c>
      <c r="I189" s="358" t="e">
        <f aca="true" t="shared" si="91" ref="I189:Q189">I6</f>
        <v>#REF!</v>
      </c>
      <c r="J189" s="358" t="e">
        <f t="shared" si="91"/>
        <v>#REF!</v>
      </c>
      <c r="K189" s="358" t="e">
        <f t="shared" si="91"/>
        <v>#REF!</v>
      </c>
      <c r="L189" s="358" t="e">
        <f t="shared" si="91"/>
        <v>#REF!</v>
      </c>
      <c r="M189" s="358" t="e">
        <f t="shared" si="91"/>
        <v>#REF!</v>
      </c>
      <c r="N189" s="358" t="e">
        <f t="shared" si="91"/>
        <v>#REF!</v>
      </c>
      <c r="O189" s="358" t="e">
        <f t="shared" si="91"/>
        <v>#REF!</v>
      </c>
      <c r="P189" s="358" t="e">
        <f t="shared" si="91"/>
        <v>#REF!</v>
      </c>
      <c r="Q189" s="359" t="e">
        <f t="shared" si="91"/>
        <v>#REF!</v>
      </c>
    </row>
    <row r="190" spans="3:17" ht="39" thickBot="1">
      <c r="C190" s="380" t="s">
        <v>422</v>
      </c>
      <c r="D190" s="381" t="s">
        <v>421</v>
      </c>
      <c r="E190" s="382"/>
      <c r="F190" s="382"/>
      <c r="G190" s="382"/>
      <c r="H190" s="383" t="e">
        <f>H191*1000/0.123</f>
        <v>#REF!</v>
      </c>
      <c r="I190" s="383" t="e">
        <f aca="true" t="shared" si="92" ref="I190:Q190">I191*1000/0.123</f>
        <v>#REF!</v>
      </c>
      <c r="J190" s="383" t="e">
        <f t="shared" si="92"/>
        <v>#REF!</v>
      </c>
      <c r="K190" s="383" t="e">
        <f t="shared" si="92"/>
        <v>#REF!</v>
      </c>
      <c r="L190" s="383" t="e">
        <f t="shared" si="92"/>
        <v>#REF!</v>
      </c>
      <c r="M190" s="383" t="e">
        <f t="shared" si="92"/>
        <v>#REF!</v>
      </c>
      <c r="N190" s="383" t="e">
        <f t="shared" si="92"/>
        <v>#REF!</v>
      </c>
      <c r="O190" s="383" t="e">
        <f t="shared" si="92"/>
        <v>#REF!</v>
      </c>
      <c r="P190" s="383" t="e">
        <f t="shared" si="92"/>
        <v>#REF!</v>
      </c>
      <c r="Q190" s="384" t="e">
        <f t="shared" si="92"/>
        <v>#REF!</v>
      </c>
    </row>
    <row r="191" spans="3:17" ht="13.5" thickBot="1">
      <c r="C191" s="354" t="s">
        <v>426</v>
      </c>
      <c r="D191" s="355" t="s">
        <v>425</v>
      </c>
      <c r="E191" s="355"/>
      <c r="F191" s="355"/>
      <c r="G191" s="355"/>
      <c r="H191" s="361" t="e">
        <f>H189*H192/100</f>
        <v>#REF!</v>
      </c>
      <c r="I191" s="361" t="e">
        <f aca="true" t="shared" si="93" ref="I191:Q191">I189*I192/100</f>
        <v>#REF!</v>
      </c>
      <c r="J191" s="361" t="e">
        <f t="shared" si="93"/>
        <v>#REF!</v>
      </c>
      <c r="K191" s="361" t="e">
        <f t="shared" si="93"/>
        <v>#REF!</v>
      </c>
      <c r="L191" s="361" t="e">
        <f t="shared" si="93"/>
        <v>#REF!</v>
      </c>
      <c r="M191" s="361" t="e">
        <f t="shared" si="93"/>
        <v>#REF!</v>
      </c>
      <c r="N191" s="361" t="e">
        <f t="shared" si="93"/>
        <v>#REF!</v>
      </c>
      <c r="O191" s="361" t="e">
        <f t="shared" si="93"/>
        <v>#REF!</v>
      </c>
      <c r="P191" s="361" t="e">
        <f t="shared" si="93"/>
        <v>#REF!</v>
      </c>
      <c r="Q191" s="362" t="e">
        <f t="shared" si="93"/>
        <v>#REF!</v>
      </c>
    </row>
    <row r="192" spans="3:17" ht="12.75">
      <c r="C192" s="353" t="s">
        <v>443</v>
      </c>
      <c r="D192" s="73" t="s">
        <v>14</v>
      </c>
      <c r="E192" s="77" t="e">
        <f>'тэр районы'!D4</f>
        <v>#REF!</v>
      </c>
      <c r="F192" s="77" t="e">
        <f>'тэр районы'!L4</f>
        <v>#REF!</v>
      </c>
      <c r="G192" s="77" t="e">
        <f>'тэр районы'!T4</f>
        <v>#REF!</v>
      </c>
      <c r="H192" s="77" t="e">
        <f>E192</f>
        <v>#REF!</v>
      </c>
      <c r="I192" s="295" t="e">
        <f>E192</f>
        <v>#REF!</v>
      </c>
      <c r="J192" s="295" t="e">
        <f>E192</f>
        <v>#REF!</v>
      </c>
      <c r="K192" s="295" t="e">
        <f>$E$192</f>
        <v>#REF!</v>
      </c>
      <c r="L192" s="295" t="e">
        <f aca="true" t="shared" si="94" ref="L192:Q192">$E$192</f>
        <v>#REF!</v>
      </c>
      <c r="M192" s="295" t="e">
        <f t="shared" si="94"/>
        <v>#REF!</v>
      </c>
      <c r="N192" s="295" t="e">
        <f t="shared" si="94"/>
        <v>#REF!</v>
      </c>
      <c r="O192" s="295" t="e">
        <f t="shared" si="94"/>
        <v>#REF!</v>
      </c>
      <c r="P192" s="295" t="e">
        <f t="shared" si="94"/>
        <v>#REF!</v>
      </c>
      <c r="Q192" s="295" t="e">
        <f t="shared" si="94"/>
        <v>#REF!</v>
      </c>
    </row>
    <row r="193" spans="3:17" ht="12.75">
      <c r="C193" s="378" t="s">
        <v>427</v>
      </c>
      <c r="D193" s="376" t="s">
        <v>425</v>
      </c>
      <c r="E193" s="376"/>
      <c r="F193" s="376"/>
      <c r="G193" s="376"/>
      <c r="H193" s="376" t="e">
        <f>H137</f>
        <v>#REF!</v>
      </c>
      <c r="I193" s="376"/>
      <c r="J193" s="376"/>
      <c r="K193" s="376"/>
      <c r="L193" s="376"/>
      <c r="M193" s="376"/>
      <c r="N193" s="376"/>
      <c r="O193" s="376"/>
      <c r="P193" s="376"/>
      <c r="Q193" s="379"/>
    </row>
    <row r="194" spans="3:17" ht="12.75">
      <c r="C194" s="113" t="s">
        <v>428</v>
      </c>
      <c r="D194" s="3" t="s">
        <v>425</v>
      </c>
      <c r="E194" s="3"/>
      <c r="F194" s="3"/>
      <c r="G194" s="3"/>
      <c r="H194" s="22" t="e">
        <f>H115/1000</f>
        <v>#REF!</v>
      </c>
      <c r="I194" s="22" t="e">
        <f aca="true" t="shared" si="95" ref="I194:Q194">I115/1000</f>
        <v>#REF!</v>
      </c>
      <c r="J194" s="22" t="e">
        <f t="shared" si="95"/>
        <v>#REF!</v>
      </c>
      <c r="K194" s="22" t="e">
        <f t="shared" si="95"/>
        <v>#REF!</v>
      </c>
      <c r="L194" s="22" t="e">
        <f t="shared" si="95"/>
        <v>#REF!</v>
      </c>
      <c r="M194" s="22" t="e">
        <f t="shared" si="95"/>
        <v>#REF!</v>
      </c>
      <c r="N194" s="22" t="e">
        <f t="shared" si="95"/>
        <v>#REF!</v>
      </c>
      <c r="O194" s="22" t="e">
        <f t="shared" si="95"/>
        <v>#REF!</v>
      </c>
      <c r="P194" s="22" t="e">
        <f t="shared" si="95"/>
        <v>#REF!</v>
      </c>
      <c r="Q194" s="114" t="e">
        <f t="shared" si="95"/>
        <v>#REF!</v>
      </c>
    </row>
    <row r="195" spans="3:17" ht="13.5" thickBot="1">
      <c r="C195" s="374" t="s">
        <v>428</v>
      </c>
      <c r="D195" s="375" t="s">
        <v>421</v>
      </c>
      <c r="E195" s="375"/>
      <c r="F195" s="376"/>
      <c r="G195" s="376"/>
      <c r="H195" s="377" t="e">
        <f>H114/1000</f>
        <v>#REF!</v>
      </c>
      <c r="I195" s="377" t="e">
        <f aca="true" t="shared" si="96" ref="I195:Q195">I114/1000</f>
        <v>#REF!</v>
      </c>
      <c r="J195" s="377" t="e">
        <f t="shared" si="96"/>
        <v>#REF!</v>
      </c>
      <c r="K195" s="377" t="e">
        <f t="shared" si="96"/>
        <v>#REF!</v>
      </c>
      <c r="L195" s="377" t="e">
        <f t="shared" si="96"/>
        <v>#REF!</v>
      </c>
      <c r="M195" s="377" t="e">
        <f t="shared" si="96"/>
        <v>#REF!</v>
      </c>
      <c r="N195" s="377" t="e">
        <f t="shared" si="96"/>
        <v>#REF!</v>
      </c>
      <c r="O195" s="377" t="e">
        <f t="shared" si="96"/>
        <v>#REF!</v>
      </c>
      <c r="P195" s="377" t="e">
        <f t="shared" si="96"/>
        <v>#REF!</v>
      </c>
      <c r="Q195" s="377" t="e">
        <f t="shared" si="96"/>
        <v>#REF!</v>
      </c>
    </row>
    <row r="196" spans="3:17" ht="12.75">
      <c r="C196" s="117" t="s">
        <v>429</v>
      </c>
      <c r="D196" s="62" t="s">
        <v>425</v>
      </c>
      <c r="E196" s="63"/>
      <c r="F196" s="57"/>
      <c r="G196" s="58"/>
      <c r="H196" s="371"/>
      <c r="I196" s="371"/>
      <c r="J196" s="371"/>
      <c r="K196" s="371"/>
      <c r="L196" s="371"/>
      <c r="M196" s="371"/>
      <c r="N196" s="371"/>
      <c r="O196" s="371"/>
      <c r="P196" s="371"/>
      <c r="Q196" s="372"/>
    </row>
    <row r="197" spans="3:17" ht="13.5" thickBot="1">
      <c r="C197" s="373" t="s">
        <v>429</v>
      </c>
      <c r="D197" s="25" t="s">
        <v>421</v>
      </c>
      <c r="E197" s="8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69"/>
    </row>
    <row r="198" spans="3:17" ht="12.75">
      <c r="C198" s="353" t="s">
        <v>444</v>
      </c>
      <c r="D198" s="73" t="s">
        <v>14</v>
      </c>
      <c r="E198" s="78" t="e">
        <f>(E23*0.143)/E19*100</f>
        <v>#REF!</v>
      </c>
      <c r="F198" s="79" t="e">
        <f>(F23*0.143)/F19*100</f>
        <v>#REF!</v>
      </c>
      <c r="G198" s="79" t="e">
        <f>(G23*0.143)/G19*100</f>
        <v>#REF!</v>
      </c>
      <c r="H198" s="156" t="e">
        <f>E198</f>
        <v>#REF!</v>
      </c>
      <c r="I198" s="156" t="e">
        <f>H198</f>
        <v>#REF!</v>
      </c>
      <c r="J198" s="156" t="e">
        <f>I198</f>
        <v>#REF!</v>
      </c>
      <c r="K198" s="156" t="e">
        <f aca="true" t="shared" si="97" ref="K198:Q198">$E$198</f>
        <v>#REF!</v>
      </c>
      <c r="L198" s="156" t="e">
        <f t="shared" si="97"/>
        <v>#REF!</v>
      </c>
      <c r="M198" s="156" t="e">
        <f t="shared" si="97"/>
        <v>#REF!</v>
      </c>
      <c r="N198" s="156" t="e">
        <f t="shared" si="97"/>
        <v>#REF!</v>
      </c>
      <c r="O198" s="156" t="e">
        <f t="shared" si="97"/>
        <v>#REF!</v>
      </c>
      <c r="P198" s="156" t="e">
        <f t="shared" si="97"/>
        <v>#REF!</v>
      </c>
      <c r="Q198" s="285" t="e">
        <f t="shared" si="97"/>
        <v>#REF!</v>
      </c>
    </row>
    <row r="199" spans="3:17" ht="12.75">
      <c r="C199" s="113" t="s">
        <v>542</v>
      </c>
      <c r="D199" s="3" t="s">
        <v>466</v>
      </c>
      <c r="E199" s="3"/>
      <c r="F199" s="3"/>
      <c r="G199" s="3"/>
      <c r="H199" s="85" t="e">
        <f>H198*H189/100</f>
        <v>#REF!</v>
      </c>
      <c r="I199" s="85" t="e">
        <f aca="true" t="shared" si="98" ref="I199:Q199">I198*I189/100</f>
        <v>#REF!</v>
      </c>
      <c r="J199" s="85" t="e">
        <f t="shared" si="98"/>
        <v>#REF!</v>
      </c>
      <c r="K199" s="85" t="e">
        <f t="shared" si="98"/>
        <v>#REF!</v>
      </c>
      <c r="L199" s="85" t="e">
        <f t="shared" si="98"/>
        <v>#REF!</v>
      </c>
      <c r="M199" s="85" t="e">
        <f t="shared" si="98"/>
        <v>#REF!</v>
      </c>
      <c r="N199" s="85" t="e">
        <f t="shared" si="98"/>
        <v>#REF!</v>
      </c>
      <c r="O199" s="85" t="e">
        <f t="shared" si="98"/>
        <v>#REF!</v>
      </c>
      <c r="P199" s="85" t="e">
        <f t="shared" si="98"/>
        <v>#REF!</v>
      </c>
      <c r="Q199" s="118" t="e">
        <f t="shared" si="98"/>
        <v>#REF!</v>
      </c>
    </row>
    <row r="200" spans="3:17" ht="12.75">
      <c r="C200" s="119" t="s">
        <v>452</v>
      </c>
      <c r="D200" s="108" t="s">
        <v>446</v>
      </c>
      <c r="E200" s="109"/>
      <c r="F200" s="109"/>
      <c r="G200" s="109"/>
      <c r="H200" s="110" t="e">
        <f>H199*1000/0.143/1000</f>
        <v>#REF!</v>
      </c>
      <c r="I200" s="110" t="e">
        <f>I199*1000/0.143/1000</f>
        <v>#REF!</v>
      </c>
      <c r="J200" s="110" t="e">
        <f aca="true" t="shared" si="99" ref="J200:Q200">J199*1000/0.143/1000</f>
        <v>#REF!</v>
      </c>
      <c r="K200" s="110" t="e">
        <f t="shared" si="99"/>
        <v>#REF!</v>
      </c>
      <c r="L200" s="110" t="e">
        <f t="shared" si="99"/>
        <v>#REF!</v>
      </c>
      <c r="M200" s="110" t="e">
        <f t="shared" si="99"/>
        <v>#REF!</v>
      </c>
      <c r="N200" s="110" t="e">
        <f t="shared" si="99"/>
        <v>#REF!</v>
      </c>
      <c r="O200" s="110" t="e">
        <f t="shared" si="99"/>
        <v>#REF!</v>
      </c>
      <c r="P200" s="110" t="e">
        <f t="shared" si="99"/>
        <v>#REF!</v>
      </c>
      <c r="Q200" s="120" t="e">
        <f t="shared" si="99"/>
        <v>#REF!</v>
      </c>
    </row>
    <row r="201" spans="3:17" ht="12.75">
      <c r="C201" s="113" t="s">
        <v>427</v>
      </c>
      <c r="D201" s="3" t="s">
        <v>425</v>
      </c>
      <c r="E201" s="3"/>
      <c r="F201" s="3"/>
      <c r="G201" s="3"/>
      <c r="H201" s="85" t="e">
        <f>H202*0.143</f>
        <v>#REF!</v>
      </c>
      <c r="I201" s="85" t="e">
        <f aca="true" t="shared" si="100" ref="I201:Q201">I202*0.143</f>
        <v>#REF!</v>
      </c>
      <c r="J201" s="85" t="e">
        <f t="shared" si="100"/>
        <v>#REF!</v>
      </c>
      <c r="K201" s="85" t="e">
        <f t="shared" si="100"/>
        <v>#REF!</v>
      </c>
      <c r="L201" s="85" t="e">
        <f t="shared" si="100"/>
        <v>#REF!</v>
      </c>
      <c r="M201" s="85" t="e">
        <f t="shared" si="100"/>
        <v>#REF!</v>
      </c>
      <c r="N201" s="85" t="e">
        <f t="shared" si="100"/>
        <v>#REF!</v>
      </c>
      <c r="O201" s="85" t="e">
        <f t="shared" si="100"/>
        <v>#REF!</v>
      </c>
      <c r="P201" s="85" t="e">
        <f t="shared" si="100"/>
        <v>#REF!</v>
      </c>
      <c r="Q201" s="85" t="e">
        <f t="shared" si="100"/>
        <v>#REF!</v>
      </c>
    </row>
    <row r="202" spans="3:17" ht="12.75">
      <c r="C202" s="113" t="s">
        <v>427</v>
      </c>
      <c r="D202" s="3" t="s">
        <v>541</v>
      </c>
      <c r="E202" s="3"/>
      <c r="F202" s="3"/>
      <c r="G202" s="3"/>
      <c r="H202" s="85" t="e">
        <f>H131/1000</f>
        <v>#REF!</v>
      </c>
      <c r="I202" s="85" t="e">
        <f aca="true" t="shared" si="101" ref="I202:Q202">I131/1000</f>
        <v>#REF!</v>
      </c>
      <c r="J202" s="85" t="e">
        <f t="shared" si="101"/>
        <v>#REF!</v>
      </c>
      <c r="K202" s="85" t="e">
        <f t="shared" si="101"/>
        <v>#REF!</v>
      </c>
      <c r="L202" s="85" t="e">
        <f t="shared" si="101"/>
        <v>#REF!</v>
      </c>
      <c r="M202" s="85" t="e">
        <f t="shared" si="101"/>
        <v>#REF!</v>
      </c>
      <c r="N202" s="85" t="e">
        <f t="shared" si="101"/>
        <v>#REF!</v>
      </c>
      <c r="O202" s="85" t="e">
        <f t="shared" si="101"/>
        <v>#REF!</v>
      </c>
      <c r="P202" s="85" t="e">
        <f t="shared" si="101"/>
        <v>#REF!</v>
      </c>
      <c r="Q202" s="118" t="e">
        <f t="shared" si="101"/>
        <v>#REF!</v>
      </c>
    </row>
    <row r="203" spans="3:17" ht="12.75">
      <c r="C203" s="113" t="s">
        <v>428</v>
      </c>
      <c r="D203" s="3" t="s">
        <v>425</v>
      </c>
      <c r="E203" s="3"/>
      <c r="F203" s="3"/>
      <c r="G203" s="3"/>
      <c r="H203" s="70" t="e">
        <f>H204*0.143</f>
        <v>#REF!</v>
      </c>
      <c r="I203" s="70" t="e">
        <f aca="true" t="shared" si="102" ref="I203:Q203">I204*0.143</f>
        <v>#REF!</v>
      </c>
      <c r="J203" s="70" t="e">
        <f t="shared" si="102"/>
        <v>#REF!</v>
      </c>
      <c r="K203" s="70" t="e">
        <f t="shared" si="102"/>
        <v>#REF!</v>
      </c>
      <c r="L203" s="70" t="e">
        <f t="shared" si="102"/>
        <v>#REF!</v>
      </c>
      <c r="M203" s="70" t="e">
        <f t="shared" si="102"/>
        <v>#REF!</v>
      </c>
      <c r="N203" s="70" t="e">
        <f t="shared" si="102"/>
        <v>#REF!</v>
      </c>
      <c r="O203" s="70" t="e">
        <f t="shared" si="102"/>
        <v>#REF!</v>
      </c>
      <c r="P203" s="70" t="e">
        <f t="shared" si="102"/>
        <v>#REF!</v>
      </c>
      <c r="Q203" s="70" t="e">
        <f t="shared" si="102"/>
        <v>#REF!</v>
      </c>
    </row>
    <row r="204" spans="3:17" ht="12.75">
      <c r="C204" s="113" t="s">
        <v>428</v>
      </c>
      <c r="D204" s="3" t="s">
        <v>447</v>
      </c>
      <c r="E204" s="3"/>
      <c r="F204" s="3"/>
      <c r="G204" s="3"/>
      <c r="H204" s="85" t="e">
        <f>H110/1000</f>
        <v>#REF!</v>
      </c>
      <c r="I204" s="85" t="e">
        <f aca="true" t="shared" si="103" ref="I204:Q204">I110/1000</f>
        <v>#REF!</v>
      </c>
      <c r="J204" s="85" t="e">
        <f t="shared" si="103"/>
        <v>#REF!</v>
      </c>
      <c r="K204" s="85" t="e">
        <f t="shared" si="103"/>
        <v>#REF!</v>
      </c>
      <c r="L204" s="85" t="e">
        <f t="shared" si="103"/>
        <v>#REF!</v>
      </c>
      <c r="M204" s="85" t="e">
        <f t="shared" si="103"/>
        <v>#REF!</v>
      </c>
      <c r="N204" s="85" t="e">
        <f t="shared" si="103"/>
        <v>#REF!</v>
      </c>
      <c r="O204" s="85" t="e">
        <f t="shared" si="103"/>
        <v>#REF!</v>
      </c>
      <c r="P204" s="85" t="e">
        <f t="shared" si="103"/>
        <v>#REF!</v>
      </c>
      <c r="Q204" s="118" t="e">
        <f t="shared" si="103"/>
        <v>#REF!</v>
      </c>
    </row>
    <row r="205" spans="3:17" ht="12.75">
      <c r="C205" s="113" t="s">
        <v>429</v>
      </c>
      <c r="D205" s="3" t="s">
        <v>425</v>
      </c>
      <c r="E205" s="3"/>
      <c r="F205" s="3"/>
      <c r="G205" s="3"/>
      <c r="H205" s="85" t="e">
        <f>H199-H201-H203</f>
        <v>#REF!</v>
      </c>
      <c r="I205" s="85" t="e">
        <f aca="true" t="shared" si="104" ref="I205:Q205">I199-I201-I203</f>
        <v>#REF!</v>
      </c>
      <c r="J205" s="85" t="e">
        <f t="shared" si="104"/>
        <v>#REF!</v>
      </c>
      <c r="K205" s="85" t="e">
        <f t="shared" si="104"/>
        <v>#REF!</v>
      </c>
      <c r="L205" s="85" t="e">
        <f t="shared" si="104"/>
        <v>#REF!</v>
      </c>
      <c r="M205" s="85" t="e">
        <f t="shared" si="104"/>
        <v>#REF!</v>
      </c>
      <c r="N205" s="85" t="e">
        <f t="shared" si="104"/>
        <v>#REF!</v>
      </c>
      <c r="O205" s="85" t="e">
        <f t="shared" si="104"/>
        <v>#REF!</v>
      </c>
      <c r="P205" s="85" t="e">
        <f t="shared" si="104"/>
        <v>#REF!</v>
      </c>
      <c r="Q205" s="85" t="e">
        <f t="shared" si="104"/>
        <v>#REF!</v>
      </c>
    </row>
    <row r="206" spans="3:17" ht="13.5" thickBot="1">
      <c r="C206" s="115" t="s">
        <v>429</v>
      </c>
      <c r="D206" s="25" t="s">
        <v>476</v>
      </c>
      <c r="E206" s="25"/>
      <c r="F206" s="25"/>
      <c r="G206" s="25"/>
      <c r="H206" s="121" t="e">
        <f>H200-H202-H204</f>
        <v>#REF!</v>
      </c>
      <c r="I206" s="121" t="e">
        <f aca="true" t="shared" si="105" ref="I206:Q206">I200-I202-I204</f>
        <v>#REF!</v>
      </c>
      <c r="J206" s="121" t="e">
        <f t="shared" si="105"/>
        <v>#REF!</v>
      </c>
      <c r="K206" s="121" t="e">
        <f t="shared" si="105"/>
        <v>#REF!</v>
      </c>
      <c r="L206" s="121" t="e">
        <f t="shared" si="105"/>
        <v>#REF!</v>
      </c>
      <c r="M206" s="121" t="e">
        <f t="shared" si="105"/>
        <v>#REF!</v>
      </c>
      <c r="N206" s="121" t="e">
        <f t="shared" si="105"/>
        <v>#REF!</v>
      </c>
      <c r="O206" s="121" t="e">
        <f t="shared" si="105"/>
        <v>#REF!</v>
      </c>
      <c r="P206" s="121" t="e">
        <f t="shared" si="105"/>
        <v>#REF!</v>
      </c>
      <c r="Q206" s="121" t="e">
        <f t="shared" si="105"/>
        <v>#REF!</v>
      </c>
    </row>
    <row r="207" spans="3:17" ht="13.5" thickBot="1">
      <c r="C207" s="354" t="s">
        <v>448</v>
      </c>
      <c r="D207" s="355" t="s">
        <v>14</v>
      </c>
      <c r="E207" s="356" t="e">
        <f>'тэр районы'!D8</f>
        <v>#REF!</v>
      </c>
      <c r="F207" s="356" t="e">
        <f>'тэр районы'!L8</f>
        <v>#REF!</v>
      </c>
      <c r="G207" s="356" t="e">
        <f>'тэр районы'!T8</f>
        <v>#REF!</v>
      </c>
      <c r="H207" s="356" t="e">
        <f>E207</f>
        <v>#REF!</v>
      </c>
      <c r="I207" s="356" t="e">
        <f aca="true" t="shared" si="106" ref="I207:Q207">H207</f>
        <v>#REF!</v>
      </c>
      <c r="J207" s="356" t="e">
        <f t="shared" si="106"/>
        <v>#REF!</v>
      </c>
      <c r="K207" s="356" t="e">
        <f t="shared" si="106"/>
        <v>#REF!</v>
      </c>
      <c r="L207" s="356" t="e">
        <f t="shared" si="106"/>
        <v>#REF!</v>
      </c>
      <c r="M207" s="356" t="e">
        <f t="shared" si="106"/>
        <v>#REF!</v>
      </c>
      <c r="N207" s="356" t="e">
        <f t="shared" si="106"/>
        <v>#REF!</v>
      </c>
      <c r="O207" s="356" t="e">
        <f t="shared" si="106"/>
        <v>#REF!</v>
      </c>
      <c r="P207" s="356" t="e">
        <f t="shared" si="106"/>
        <v>#REF!</v>
      </c>
      <c r="Q207" s="356" t="e">
        <f t="shared" si="106"/>
        <v>#REF!</v>
      </c>
    </row>
    <row r="208" spans="3:17" ht="12.75">
      <c r="C208" s="353" t="s">
        <v>449</v>
      </c>
      <c r="D208" s="329" t="s">
        <v>424</v>
      </c>
      <c r="E208" s="73"/>
      <c r="F208" s="73"/>
      <c r="G208" s="73"/>
      <c r="H208" s="78" t="e">
        <f>H207*H189/100</f>
        <v>#REF!</v>
      </c>
      <c r="I208" s="78" t="e">
        <f aca="true" t="shared" si="107" ref="I208:Q208">I207*I189/100</f>
        <v>#REF!</v>
      </c>
      <c r="J208" s="78" t="e">
        <f t="shared" si="107"/>
        <v>#REF!</v>
      </c>
      <c r="K208" s="78" t="e">
        <f t="shared" si="107"/>
        <v>#REF!</v>
      </c>
      <c r="L208" s="78" t="e">
        <f t="shared" si="107"/>
        <v>#REF!</v>
      </c>
      <c r="M208" s="78" t="e">
        <f t="shared" si="107"/>
        <v>#REF!</v>
      </c>
      <c r="N208" s="78" t="e">
        <f t="shared" si="107"/>
        <v>#REF!</v>
      </c>
      <c r="O208" s="78" t="e">
        <f t="shared" si="107"/>
        <v>#REF!</v>
      </c>
      <c r="P208" s="78" t="e">
        <f t="shared" si="107"/>
        <v>#REF!</v>
      </c>
      <c r="Q208" s="78" t="e">
        <f t="shared" si="107"/>
        <v>#REF!</v>
      </c>
    </row>
    <row r="209" spans="3:18" ht="12.75">
      <c r="C209" s="122" t="s">
        <v>451</v>
      </c>
      <c r="D209" s="123" t="s">
        <v>450</v>
      </c>
      <c r="E209" s="3"/>
      <c r="F209" s="3"/>
      <c r="G209" s="3"/>
      <c r="H209" s="124" t="e">
        <f>H208*1000/1.137</f>
        <v>#REF!</v>
      </c>
      <c r="I209" s="124" t="e">
        <f aca="true" t="shared" si="108" ref="I209:P209">I208*1000/1.137</f>
        <v>#REF!</v>
      </c>
      <c r="J209" s="124" t="e">
        <f t="shared" si="108"/>
        <v>#REF!</v>
      </c>
      <c r="K209" s="124" t="e">
        <f t="shared" si="108"/>
        <v>#REF!</v>
      </c>
      <c r="L209" s="124" t="e">
        <f t="shared" si="108"/>
        <v>#REF!</v>
      </c>
      <c r="M209" s="124" t="e">
        <f t="shared" si="108"/>
        <v>#REF!</v>
      </c>
      <c r="N209" s="124" t="e">
        <f t="shared" si="108"/>
        <v>#REF!</v>
      </c>
      <c r="O209" s="124" t="e">
        <f t="shared" si="108"/>
        <v>#REF!</v>
      </c>
      <c r="P209" s="124" t="e">
        <f t="shared" si="108"/>
        <v>#REF!</v>
      </c>
      <c r="Q209" s="284" t="e">
        <f>Q208*1000/1.137</f>
        <v>#REF!</v>
      </c>
      <c r="R209" s="364" t="e">
        <f>'тэр районы'!AB20</f>
        <v>#REF!</v>
      </c>
    </row>
    <row r="210" spans="3:17" ht="12.75">
      <c r="C210" s="113" t="s">
        <v>427</v>
      </c>
      <c r="D210" s="3" t="s">
        <v>425</v>
      </c>
      <c r="E210" s="3"/>
      <c r="F210" s="3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118"/>
    </row>
    <row r="211" spans="3:17" ht="12.75">
      <c r="C211" s="113" t="s">
        <v>428</v>
      </c>
      <c r="D211" s="3" t="s">
        <v>425</v>
      </c>
      <c r="E211" s="3"/>
      <c r="F211" s="3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118"/>
    </row>
    <row r="212" spans="3:17" ht="12.75">
      <c r="C212" s="113" t="s">
        <v>428</v>
      </c>
      <c r="D212" s="3" t="s">
        <v>453</v>
      </c>
      <c r="E212" s="3"/>
      <c r="F212" s="3"/>
      <c r="G212" s="3"/>
      <c r="H212" s="85"/>
      <c r="I212" s="85"/>
      <c r="J212" s="85"/>
      <c r="K212" s="85"/>
      <c r="L212" s="85"/>
      <c r="M212" s="85"/>
      <c r="N212" s="85"/>
      <c r="O212" s="85"/>
      <c r="P212" s="85"/>
      <c r="Q212" s="118"/>
    </row>
    <row r="213" spans="3:17" ht="13.5" thickBot="1">
      <c r="C213" s="116" t="s">
        <v>429</v>
      </c>
      <c r="D213" s="58" t="s">
        <v>425</v>
      </c>
      <c r="E213" s="58"/>
      <c r="F213" s="58"/>
      <c r="G213" s="58"/>
      <c r="H213" s="348"/>
      <c r="I213" s="348"/>
      <c r="J213" s="348"/>
      <c r="K213" s="348"/>
      <c r="L213" s="348"/>
      <c r="M213" s="348"/>
      <c r="N213" s="348"/>
      <c r="O213" s="348"/>
      <c r="P213" s="348"/>
      <c r="Q213" s="349"/>
    </row>
    <row r="214" spans="3:17" ht="13.5" thickBot="1">
      <c r="C214" s="354" t="s">
        <v>434</v>
      </c>
      <c r="D214" s="355" t="s">
        <v>435</v>
      </c>
      <c r="E214" s="356" t="e">
        <f>'тэр районы'!D14</f>
        <v>#REF!</v>
      </c>
      <c r="F214" s="356" t="e">
        <f>'тэр районы'!L14</f>
        <v>#REF!</v>
      </c>
      <c r="G214" s="356" t="e">
        <f>'тэр районы'!T14</f>
        <v>#REF!</v>
      </c>
      <c r="H214" s="356" t="e">
        <f>E214</f>
        <v>#REF!</v>
      </c>
      <c r="I214" s="356" t="e">
        <f>H214</f>
        <v>#REF!</v>
      </c>
      <c r="J214" s="356" t="e">
        <f aca="true" t="shared" si="109" ref="J214:Q214">I214</f>
        <v>#REF!</v>
      </c>
      <c r="K214" s="356" t="e">
        <f t="shared" si="109"/>
        <v>#REF!</v>
      </c>
      <c r="L214" s="356" t="e">
        <f t="shared" si="109"/>
        <v>#REF!</v>
      </c>
      <c r="M214" s="356" t="e">
        <f>L214</f>
        <v>#REF!</v>
      </c>
      <c r="N214" s="356" t="e">
        <f t="shared" si="109"/>
        <v>#REF!</v>
      </c>
      <c r="O214" s="356" t="e">
        <f t="shared" si="109"/>
        <v>#REF!</v>
      </c>
      <c r="P214" s="356" t="e">
        <f t="shared" si="109"/>
        <v>#REF!</v>
      </c>
      <c r="Q214" s="356" t="e">
        <f t="shared" si="109"/>
        <v>#REF!</v>
      </c>
    </row>
    <row r="215" spans="3:17" ht="12.75">
      <c r="C215" s="357"/>
      <c r="D215" s="337" t="s">
        <v>424</v>
      </c>
      <c r="F215" s="73"/>
      <c r="G215" s="73"/>
      <c r="H215" s="78" t="e">
        <f>H189*H214/100</f>
        <v>#REF!</v>
      </c>
      <c r="I215" s="78" t="e">
        <f aca="true" t="shared" si="110" ref="I215:Q215">I189*I214/100</f>
        <v>#REF!</v>
      </c>
      <c r="J215" s="78" t="e">
        <f t="shared" si="110"/>
        <v>#REF!</v>
      </c>
      <c r="K215" s="78" t="e">
        <f t="shared" si="110"/>
        <v>#REF!</v>
      </c>
      <c r="L215" s="78" t="e">
        <f t="shared" si="110"/>
        <v>#REF!</v>
      </c>
      <c r="M215" s="78" t="e">
        <f t="shared" si="110"/>
        <v>#REF!</v>
      </c>
      <c r="N215" s="78" t="e">
        <f t="shared" si="110"/>
        <v>#REF!</v>
      </c>
      <c r="O215" s="78" t="e">
        <f t="shared" si="110"/>
        <v>#REF!</v>
      </c>
      <c r="P215" s="78" t="e">
        <f t="shared" si="110"/>
        <v>#REF!</v>
      </c>
      <c r="Q215" s="78" t="e">
        <f t="shared" si="110"/>
        <v>#REF!</v>
      </c>
    </row>
    <row r="216" spans="3:17" ht="12.75">
      <c r="C216" s="350" t="s">
        <v>436</v>
      </c>
      <c r="D216" s="351" t="s">
        <v>453</v>
      </c>
      <c r="E216" s="351"/>
      <c r="F216" s="351"/>
      <c r="G216" s="351"/>
      <c r="H216" s="352" t="e">
        <f>H215*1000/1.137</f>
        <v>#REF!</v>
      </c>
      <c r="I216" s="352" t="e">
        <f aca="true" t="shared" si="111" ref="I216:Q216">I215*1000/1.137</f>
        <v>#REF!</v>
      </c>
      <c r="J216" s="352" t="e">
        <f t="shared" si="111"/>
        <v>#REF!</v>
      </c>
      <c r="K216" s="352" t="e">
        <f t="shared" si="111"/>
        <v>#REF!</v>
      </c>
      <c r="L216" s="352" t="e">
        <f t="shared" si="111"/>
        <v>#REF!</v>
      </c>
      <c r="M216" s="352" t="e">
        <f t="shared" si="111"/>
        <v>#REF!</v>
      </c>
      <c r="N216" s="352" t="e">
        <f t="shared" si="111"/>
        <v>#REF!</v>
      </c>
      <c r="O216" s="352" t="e">
        <f t="shared" si="111"/>
        <v>#REF!</v>
      </c>
      <c r="P216" s="352" t="e">
        <f t="shared" si="111"/>
        <v>#REF!</v>
      </c>
      <c r="Q216" s="352" t="e">
        <f t="shared" si="111"/>
        <v>#REF!</v>
      </c>
    </row>
    <row r="217" spans="3:17" ht="12.75">
      <c r="C217" s="6"/>
      <c r="D217" s="3"/>
      <c r="E217" s="3"/>
      <c r="F217" s="3"/>
      <c r="G217" s="3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3:17" ht="13.5" thickBot="1">
      <c r="C218" s="68"/>
      <c r="D218" s="58"/>
      <c r="E218" s="58"/>
      <c r="F218" s="58"/>
      <c r="G218" s="58"/>
      <c r="H218" s="348"/>
      <c r="I218" s="348"/>
      <c r="J218" s="348"/>
      <c r="K218" s="348"/>
      <c r="L218" s="348"/>
      <c r="M218" s="348"/>
      <c r="N218" s="348"/>
      <c r="O218" s="348"/>
      <c r="P218" s="348"/>
      <c r="Q218" s="348"/>
    </row>
    <row r="219" spans="3:17" ht="13.5" thickBot="1">
      <c r="C219" s="354" t="s">
        <v>437</v>
      </c>
      <c r="D219" s="355" t="s">
        <v>438</v>
      </c>
      <c r="E219" s="355"/>
      <c r="F219" s="355"/>
      <c r="G219" s="355"/>
      <c r="H219" s="356" t="e">
        <f>H189-H191-H208-H215</f>
        <v>#REF!</v>
      </c>
      <c r="I219" s="356" t="e">
        <f aca="true" t="shared" si="112" ref="I219:P219">I189-I191-I208-I215</f>
        <v>#REF!</v>
      </c>
      <c r="J219" s="356" t="e">
        <f t="shared" si="112"/>
        <v>#REF!</v>
      </c>
      <c r="K219" s="356" t="e">
        <f t="shared" si="112"/>
        <v>#REF!</v>
      </c>
      <c r="L219" s="356" t="e">
        <f t="shared" si="112"/>
        <v>#REF!</v>
      </c>
      <c r="M219" s="356" t="e">
        <f t="shared" si="112"/>
        <v>#REF!</v>
      </c>
      <c r="N219" s="356" t="e">
        <f t="shared" si="112"/>
        <v>#REF!</v>
      </c>
      <c r="O219" s="356" t="e">
        <f t="shared" si="112"/>
        <v>#REF!</v>
      </c>
      <c r="P219" s="356" t="e">
        <f t="shared" si="112"/>
        <v>#REF!</v>
      </c>
      <c r="Q219" s="356" t="e">
        <f>Q189-Q191-Q208-Q215</f>
        <v>#REF!</v>
      </c>
    </row>
    <row r="220" spans="3:17" ht="12.75">
      <c r="C220" s="91"/>
      <c r="D220" s="125"/>
      <c r="E220" s="125"/>
      <c r="F220" s="125"/>
      <c r="G220" s="125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</row>
    <row r="221" spans="3:17" ht="13.5" thickBot="1">
      <c r="C221" s="91"/>
      <c r="D221" s="125"/>
      <c r="E221" s="125"/>
      <c r="F221" s="125"/>
      <c r="G221" s="125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</row>
    <row r="222" spans="3:17" ht="16.5" thickBot="1">
      <c r="C222" s="130" t="s">
        <v>379</v>
      </c>
      <c r="D222" s="131" t="str">
        <f>D46</f>
        <v>куб.м</v>
      </c>
      <c r="E222" s="205" t="e">
        <f>E46</f>
        <v>#REF!</v>
      </c>
      <c r="F222" s="205" t="e">
        <f aca="true" t="shared" si="113" ref="F222:Q222">F46</f>
        <v>#REF!</v>
      </c>
      <c r="G222" s="205" t="e">
        <f t="shared" si="113"/>
        <v>#REF!</v>
      </c>
      <c r="H222" s="205" t="e">
        <f t="shared" si="113"/>
        <v>#REF!</v>
      </c>
      <c r="I222" s="205" t="e">
        <f t="shared" si="113"/>
        <v>#REF!</v>
      </c>
      <c r="J222" s="205" t="e">
        <f t="shared" si="113"/>
        <v>#REF!</v>
      </c>
      <c r="K222" s="205" t="e">
        <f t="shared" si="113"/>
        <v>#REF!</v>
      </c>
      <c r="L222" s="205" t="e">
        <f t="shared" si="113"/>
        <v>#REF!</v>
      </c>
      <c r="M222" s="205" t="e">
        <f t="shared" si="113"/>
        <v>#REF!</v>
      </c>
      <c r="N222" s="205" t="e">
        <f t="shared" si="113"/>
        <v>#REF!</v>
      </c>
      <c r="O222" s="205" t="e">
        <f t="shared" si="113"/>
        <v>#REF!</v>
      </c>
      <c r="P222" s="205" t="e">
        <f t="shared" si="113"/>
        <v>#REF!</v>
      </c>
      <c r="Q222" s="206" t="e">
        <f t="shared" si="113"/>
        <v>#REF!</v>
      </c>
    </row>
    <row r="223" spans="3:17" ht="32.25" thickBot="1">
      <c r="C223" s="201" t="s">
        <v>580</v>
      </c>
      <c r="D223" s="203" t="s">
        <v>581</v>
      </c>
      <c r="E223" s="207"/>
      <c r="F223" s="131"/>
      <c r="G223" s="131"/>
      <c r="H223" s="131" t="e">
        <f>(G222-H222)/1000</f>
        <v>#REF!</v>
      </c>
      <c r="I223" s="131" t="e">
        <f aca="true" t="shared" si="114" ref="I223:Q223">(H222-I222)/1000</f>
        <v>#REF!</v>
      </c>
      <c r="J223" s="131" t="e">
        <f t="shared" si="114"/>
        <v>#REF!</v>
      </c>
      <c r="K223" s="131" t="e">
        <f t="shared" si="114"/>
        <v>#REF!</v>
      </c>
      <c r="L223" s="131" t="e">
        <f t="shared" si="114"/>
        <v>#REF!</v>
      </c>
      <c r="M223" s="131" t="e">
        <f t="shared" si="114"/>
        <v>#REF!</v>
      </c>
      <c r="N223" s="131" t="e">
        <f t="shared" si="114"/>
        <v>#REF!</v>
      </c>
      <c r="O223" s="131" t="e">
        <f t="shared" si="114"/>
        <v>#REF!</v>
      </c>
      <c r="P223" s="131" t="e">
        <f t="shared" si="114"/>
        <v>#REF!</v>
      </c>
      <c r="Q223" s="131" t="e">
        <f t="shared" si="114"/>
        <v>#REF!</v>
      </c>
    </row>
    <row r="224" spans="3:17" ht="48" thickBot="1">
      <c r="C224" s="201" t="s">
        <v>432</v>
      </c>
      <c r="D224" s="203" t="s">
        <v>581</v>
      </c>
      <c r="E224" s="208"/>
      <c r="F224" s="16"/>
      <c r="G224" s="16"/>
      <c r="H224" s="202" t="e">
        <f>H182/1000</f>
        <v>#REF!</v>
      </c>
      <c r="I224" s="202" t="e">
        <f aca="true" t="shared" si="115" ref="I224:Q224">I182/1000</f>
        <v>#REF!</v>
      </c>
      <c r="J224" s="202" t="e">
        <f t="shared" si="115"/>
        <v>#REF!</v>
      </c>
      <c r="K224" s="202" t="e">
        <f t="shared" si="115"/>
        <v>#REF!</v>
      </c>
      <c r="L224" s="202" t="e">
        <f t="shared" si="115"/>
        <v>#REF!</v>
      </c>
      <c r="M224" s="202" t="e">
        <f t="shared" si="115"/>
        <v>#REF!</v>
      </c>
      <c r="N224" s="202" t="e">
        <f t="shared" si="115"/>
        <v>#REF!</v>
      </c>
      <c r="O224" s="202" t="e">
        <f t="shared" si="115"/>
        <v>#REF!</v>
      </c>
      <c r="P224" s="202" t="e">
        <f t="shared" si="115"/>
        <v>#REF!</v>
      </c>
      <c r="Q224" s="209" t="e">
        <f t="shared" si="115"/>
        <v>#REF!</v>
      </c>
    </row>
    <row r="225" spans="3:17" ht="48" thickBot="1">
      <c r="C225" s="132" t="s">
        <v>433</v>
      </c>
      <c r="D225" s="204" t="s">
        <v>454</v>
      </c>
      <c r="E225" s="210"/>
      <c r="F225" s="211"/>
      <c r="G225" s="211"/>
      <c r="H225" s="212" t="e">
        <f>H223+H224</f>
        <v>#REF!</v>
      </c>
      <c r="I225" s="212" t="e">
        <f aca="true" t="shared" si="116" ref="I225:Q225">I223+I224</f>
        <v>#REF!</v>
      </c>
      <c r="J225" s="212" t="e">
        <f t="shared" si="116"/>
        <v>#REF!</v>
      </c>
      <c r="K225" s="212" t="e">
        <f t="shared" si="116"/>
        <v>#REF!</v>
      </c>
      <c r="L225" s="212" t="e">
        <f t="shared" si="116"/>
        <v>#REF!</v>
      </c>
      <c r="M225" s="212" t="e">
        <f t="shared" si="116"/>
        <v>#REF!</v>
      </c>
      <c r="N225" s="212" t="e">
        <f t="shared" si="116"/>
        <v>#REF!</v>
      </c>
      <c r="O225" s="212" t="e">
        <f t="shared" si="116"/>
        <v>#REF!</v>
      </c>
      <c r="P225" s="212" t="e">
        <f t="shared" si="116"/>
        <v>#REF!</v>
      </c>
      <c r="Q225" s="213" t="e">
        <f t="shared" si="116"/>
        <v>#REF!</v>
      </c>
    </row>
    <row r="226" spans="3:17" ht="15.75">
      <c r="C226" s="128"/>
      <c r="D226" s="129"/>
      <c r="E226" s="129"/>
      <c r="F226" s="129"/>
      <c r="G226" s="129"/>
      <c r="H226" s="129"/>
      <c r="I226" s="133" t="e">
        <f>I224-H224</f>
        <v>#REF!</v>
      </c>
      <c r="J226" s="129"/>
      <c r="K226" s="129"/>
      <c r="L226" s="129"/>
      <c r="M226" s="129"/>
      <c r="N226" s="129"/>
      <c r="O226" s="129"/>
      <c r="P226" s="129"/>
      <c r="Q226" s="129"/>
    </row>
    <row r="227" spans="3:17" ht="15.75"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3:17" ht="15.75"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3:17" ht="15.75"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3:18" ht="15.75">
      <c r="C230" s="128"/>
      <c r="D230" s="129"/>
      <c r="E230" s="129"/>
      <c r="F230" s="129"/>
      <c r="G230" s="129"/>
      <c r="H230" s="133" t="e">
        <f aca="true" t="shared" si="117" ref="H230:P230">H190-G190</f>
        <v>#REF!</v>
      </c>
      <c r="I230" s="133" t="e">
        <f t="shared" si="117"/>
        <v>#REF!</v>
      </c>
      <c r="J230" s="133" t="e">
        <f t="shared" si="117"/>
        <v>#REF!</v>
      </c>
      <c r="K230" s="133" t="e">
        <f t="shared" si="117"/>
        <v>#REF!</v>
      </c>
      <c r="L230" s="133" t="e">
        <f t="shared" si="117"/>
        <v>#REF!</v>
      </c>
      <c r="M230" s="133" t="e">
        <f t="shared" si="117"/>
        <v>#REF!</v>
      </c>
      <c r="N230" s="133" t="e">
        <f t="shared" si="117"/>
        <v>#REF!</v>
      </c>
      <c r="O230" s="133" t="e">
        <f t="shared" si="117"/>
        <v>#REF!</v>
      </c>
      <c r="P230" s="133" t="e">
        <f t="shared" si="117"/>
        <v>#REF!</v>
      </c>
      <c r="Q230" s="133" t="e">
        <f>Q190-P190</f>
        <v>#REF!</v>
      </c>
      <c r="R230" s="80" t="e">
        <f>SUM(H230:Q230)</f>
        <v>#REF!</v>
      </c>
    </row>
    <row r="231" spans="3:18" ht="15.75">
      <c r="C231" s="128"/>
      <c r="D231" s="129"/>
      <c r="E231" s="129"/>
      <c r="F231" s="129"/>
      <c r="G231" s="129"/>
      <c r="H231" s="133"/>
      <c r="I231" s="133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0">
        <f>SUM(I231:Q231)</f>
        <v>0</v>
      </c>
    </row>
    <row r="232" spans="3:17" ht="15.75">
      <c r="C232" s="128"/>
      <c r="D232" s="129"/>
      <c r="E232" s="129"/>
      <c r="F232" s="129"/>
      <c r="G232" s="129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3:17" ht="13.5" thickBot="1"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3:8" ht="13.5" thickBot="1">
      <c r="C234" s="2" t="s">
        <v>457</v>
      </c>
      <c r="G234" s="93" t="s">
        <v>442</v>
      </c>
      <c r="H234" s="94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441</v>
      </c>
      <c r="D236" s="3" t="s">
        <v>420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5">
        <v>0</v>
      </c>
      <c r="K236" s="85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430</v>
      </c>
      <c r="D237" s="3" t="s">
        <v>420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424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5" customWidth="1"/>
    <col min="2" max="2" width="25.28125" style="135" hidden="1" customWidth="1"/>
    <col min="3" max="3" width="15.140625" style="197" customWidth="1"/>
    <col min="4" max="4" width="29.421875" style="135" customWidth="1"/>
    <col min="5" max="6" width="9.140625" style="135" customWidth="1"/>
    <col min="7" max="7" width="10.140625" style="135" hidden="1" customWidth="1"/>
    <col min="8" max="8" width="9.28125" style="135" customWidth="1"/>
    <col min="9" max="9" width="9.140625" style="135" customWidth="1"/>
    <col min="10" max="10" width="9.8515625" style="135" customWidth="1"/>
    <col min="11" max="11" width="9.28125" style="135" customWidth="1"/>
    <col min="12" max="12" width="8.8515625" style="135" customWidth="1"/>
    <col min="13" max="13" width="9.00390625" style="135" customWidth="1"/>
    <col min="14" max="14" width="9.421875" style="135" customWidth="1"/>
    <col min="15" max="15" width="9.7109375" style="135" customWidth="1"/>
    <col min="16" max="16" width="9.57421875" style="135" customWidth="1"/>
    <col min="17" max="17" width="8.8515625" style="135" customWidth="1"/>
    <col min="18" max="18" width="9.140625" style="135" customWidth="1"/>
    <col min="19" max="19" width="15.00390625" style="135" customWidth="1"/>
    <col min="20" max="20" width="12.57421875" style="135" customWidth="1"/>
    <col min="21" max="16384" width="9.140625" style="135" customWidth="1"/>
  </cols>
  <sheetData>
    <row r="2" ht="15" thickBot="1"/>
    <row r="3" spans="1:19" ht="15" thickBot="1">
      <c r="A3" s="666" t="s">
        <v>5</v>
      </c>
      <c r="B3" s="666" t="s">
        <v>6</v>
      </c>
      <c r="C3" s="666" t="s">
        <v>7</v>
      </c>
      <c r="D3" s="136" t="s">
        <v>8</v>
      </c>
      <c r="E3" s="668" t="s">
        <v>9</v>
      </c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70"/>
      <c r="S3" s="666" t="s">
        <v>10</v>
      </c>
    </row>
    <row r="4" spans="1:19" ht="44.25" customHeight="1" thickBot="1">
      <c r="A4" s="667"/>
      <c r="B4" s="667"/>
      <c r="C4" s="667"/>
      <c r="D4" s="137" t="s">
        <v>455</v>
      </c>
      <c r="E4" s="137">
        <v>2007</v>
      </c>
      <c r="F4" s="137">
        <v>2008</v>
      </c>
      <c r="G4" s="137">
        <v>2009</v>
      </c>
      <c r="H4" s="137">
        <v>2010</v>
      </c>
      <c r="I4" s="137">
        <v>2011</v>
      </c>
      <c r="J4" s="137">
        <v>2012</v>
      </c>
      <c r="K4" s="137">
        <v>2013</v>
      </c>
      <c r="L4" s="137">
        <v>2014</v>
      </c>
      <c r="M4" s="137">
        <v>2015</v>
      </c>
      <c r="N4" s="137">
        <v>2016</v>
      </c>
      <c r="O4" s="137">
        <v>2017</v>
      </c>
      <c r="P4" s="137">
        <v>2018</v>
      </c>
      <c r="Q4" s="137">
        <v>2019</v>
      </c>
      <c r="R4" s="137">
        <v>2020</v>
      </c>
      <c r="S4" s="667"/>
    </row>
    <row r="5" spans="1:19" ht="15.75" thickBot="1">
      <c r="A5" s="138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</row>
    <row r="6" spans="1:19" ht="31.5" customHeight="1" thickBot="1">
      <c r="A6" s="668" t="s">
        <v>11</v>
      </c>
      <c r="B6" s="669"/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69"/>
      <c r="O6" s="669"/>
      <c r="P6" s="669"/>
      <c r="Q6" s="669"/>
      <c r="R6" s="669"/>
      <c r="S6" s="670"/>
    </row>
    <row r="7" spans="1:19" ht="161.25" customHeight="1" thickBot="1">
      <c r="A7" s="138" t="s">
        <v>12</v>
      </c>
      <c r="B7" s="134" t="s">
        <v>13</v>
      </c>
      <c r="C7" s="134" t="s">
        <v>14</v>
      </c>
      <c r="D7" s="134" t="s">
        <v>15</v>
      </c>
      <c r="E7" s="139" t="e">
        <f>((#REF!/#REF!)/(#REF!/#REF!))*100</f>
        <v>#REF!</v>
      </c>
      <c r="F7" s="139" t="e">
        <f>((#REF!/#REF!)/(#REF!/#REF!))*100</f>
        <v>#REF!</v>
      </c>
      <c r="G7" s="139" t="e">
        <f>((#REF!/#REF!)/(#REF!/#REF!))*100</f>
        <v>#REF!</v>
      </c>
      <c r="H7" s="139" t="e">
        <f>((#REF!/#REF!)/(#REF!/#REF!))*100</f>
        <v>#REF!</v>
      </c>
      <c r="I7" s="139" t="e">
        <f>((#REF!/#REF!)/(#REF!/#REF!))*100</f>
        <v>#REF!</v>
      </c>
      <c r="J7" s="139" t="e">
        <f>((#REF!/#REF!)/(#REF!/#REF!))*100</f>
        <v>#REF!</v>
      </c>
      <c r="K7" s="139" t="e">
        <f>((#REF!/#REF!)/(#REF!/#REF!))*100</f>
        <v>#REF!</v>
      </c>
      <c r="L7" s="139" t="e">
        <f>((#REF!/#REF!)/(#REF!/#REF!))*100</f>
        <v>#REF!</v>
      </c>
      <c r="M7" s="139" t="e">
        <f>((#REF!/#REF!)/(#REF!/#REF!))*100</f>
        <v>#REF!</v>
      </c>
      <c r="N7" s="139" t="e">
        <f>((#REF!/#REF!)/(#REF!/#REF!))*100</f>
        <v>#REF!</v>
      </c>
      <c r="O7" s="139" t="e">
        <f>((#REF!/#REF!)/(#REF!/#REF!))*100</f>
        <v>#REF!</v>
      </c>
      <c r="P7" s="139" t="e">
        <f>((#REF!/#REF!)/(#REF!/#REF!))*100</f>
        <v>#REF!</v>
      </c>
      <c r="Q7" s="139" t="e">
        <f>((#REF!/#REF!)/(#REF!/#REF!))*100</f>
        <v>#REF!</v>
      </c>
      <c r="R7" s="134"/>
      <c r="S7" s="134" t="s">
        <v>16</v>
      </c>
    </row>
    <row r="8" spans="1:19" ht="174" customHeight="1" thickBot="1">
      <c r="A8" s="138" t="s">
        <v>17</v>
      </c>
      <c r="B8" s="134" t="s">
        <v>18</v>
      </c>
      <c r="C8" s="134" t="s">
        <v>14</v>
      </c>
      <c r="D8" s="134" t="s">
        <v>19</v>
      </c>
      <c r="E8" s="139" t="e">
        <f>#REF!/#REF!*100</f>
        <v>#REF!</v>
      </c>
      <c r="F8" s="139" t="e">
        <f>#REF!/#REF!*100</f>
        <v>#REF!</v>
      </c>
      <c r="G8" s="182" t="e">
        <f>#REF!/#REF!*100</f>
        <v>#REF!</v>
      </c>
      <c r="H8" s="182" t="e">
        <f>#REF!/#REF!*100</f>
        <v>#REF!</v>
      </c>
      <c r="I8" s="139" t="e">
        <f>#REF!/#REF!*100</f>
        <v>#REF!</v>
      </c>
      <c r="J8" s="134" t="e">
        <f>#REF!/#REF!*100</f>
        <v>#REF!</v>
      </c>
      <c r="K8" s="134" t="e">
        <f>#REF!/#REF!*100</f>
        <v>#REF!</v>
      </c>
      <c r="L8" s="134" t="e">
        <f>#REF!/#REF!*100</f>
        <v>#REF!</v>
      </c>
      <c r="M8" s="134" t="e">
        <f>#REF!/#REF!*100</f>
        <v>#REF!</v>
      </c>
      <c r="N8" s="134" t="e">
        <f>#REF!/#REF!*100</f>
        <v>#REF!</v>
      </c>
      <c r="O8" s="134" t="e">
        <f>#REF!/#REF!*100</f>
        <v>#REF!</v>
      </c>
      <c r="P8" s="134" t="e">
        <f>#REF!/#REF!*100</f>
        <v>#REF!</v>
      </c>
      <c r="Q8" s="134" t="e">
        <f>#REF!/#REF!*100</f>
        <v>#REF!</v>
      </c>
      <c r="R8" s="134"/>
      <c r="S8" s="134"/>
    </row>
    <row r="9" spans="1:19" ht="162" customHeight="1" thickBot="1">
      <c r="A9" s="138" t="s">
        <v>20</v>
      </c>
      <c r="B9" s="134" t="s">
        <v>26</v>
      </c>
      <c r="C9" s="134" t="s">
        <v>14</v>
      </c>
      <c r="D9" s="134" t="s">
        <v>27</v>
      </c>
      <c r="E9" s="139" t="e">
        <f>#REF!/#REF!*100</f>
        <v>#REF!</v>
      </c>
      <c r="F9" s="182" t="e">
        <f>#REF!/#REF!*100</f>
        <v>#REF!</v>
      </c>
      <c r="G9" s="182" t="e">
        <f>#REF!/#REF!*100</f>
        <v>#REF!</v>
      </c>
      <c r="H9" s="182" t="e">
        <f>#REF!/#REF!*100</f>
        <v>#REF!</v>
      </c>
      <c r="I9" s="139" t="e">
        <f>#REF!/#REF!*100</f>
        <v>#REF!</v>
      </c>
      <c r="J9" s="139" t="e">
        <f>#REF!/#REF!*100</f>
        <v>#REF!</v>
      </c>
      <c r="K9" s="139" t="e">
        <f>#REF!/#REF!*100</f>
        <v>#REF!</v>
      </c>
      <c r="L9" s="139" t="e">
        <f>#REF!/#REF!*100</f>
        <v>#REF!</v>
      </c>
      <c r="M9" s="139" t="e">
        <f>#REF!/#REF!*100</f>
        <v>#REF!</v>
      </c>
      <c r="N9" s="139" t="e">
        <f>#REF!/#REF!*100</f>
        <v>#REF!</v>
      </c>
      <c r="O9" s="139" t="e">
        <f>#REF!/#REF!*100</f>
        <v>#REF!</v>
      </c>
      <c r="P9" s="139" t="e">
        <f>#REF!/#REF!*100</f>
        <v>#REF!</v>
      </c>
      <c r="Q9" s="139" t="e">
        <f>#REF!/#REF!*100</f>
        <v>#REF!</v>
      </c>
      <c r="R9" s="134"/>
      <c r="S9" s="134"/>
    </row>
    <row r="10" spans="1:19" ht="150.75" thickBot="1">
      <c r="A10" s="138" t="s">
        <v>28</v>
      </c>
      <c r="B10" s="134" t="s">
        <v>29</v>
      </c>
      <c r="C10" s="134" t="s">
        <v>14</v>
      </c>
      <c r="D10" s="134" t="s">
        <v>30</v>
      </c>
      <c r="E10" s="139" t="e">
        <f>#REF!/#REF!*100</f>
        <v>#REF!</v>
      </c>
      <c r="F10" s="139" t="e">
        <f>#REF!/#REF!*100</f>
        <v>#REF!</v>
      </c>
      <c r="G10" s="139" t="e">
        <f>#REF!/#REF!*100</f>
        <v>#REF!</v>
      </c>
      <c r="H10" s="139" t="e">
        <f>#REF!/#REF!*100</f>
        <v>#REF!</v>
      </c>
      <c r="I10" s="139" t="e">
        <f>#REF!/#REF!*100</f>
        <v>#REF!</v>
      </c>
      <c r="J10" s="139" t="e">
        <f>#REF!/#REF!*100</f>
        <v>#REF!</v>
      </c>
      <c r="K10" s="139" t="e">
        <f>#REF!/#REF!*100</f>
        <v>#REF!</v>
      </c>
      <c r="L10" s="139" t="e">
        <f>#REF!/#REF!*100</f>
        <v>#REF!</v>
      </c>
      <c r="M10" s="139" t="e">
        <f>#REF!/#REF!*100</f>
        <v>#REF!</v>
      </c>
      <c r="N10" s="139" t="e">
        <f>#REF!/#REF!*100</f>
        <v>#REF!</v>
      </c>
      <c r="O10" s="139" t="e">
        <f>#REF!/#REF!*100</f>
        <v>#REF!</v>
      </c>
      <c r="P10" s="139" t="e">
        <f>#REF!/#REF!*100</f>
        <v>#REF!</v>
      </c>
      <c r="Q10" s="139" t="e">
        <f>#REF!/#REF!*100</f>
        <v>#REF!</v>
      </c>
      <c r="R10" s="134"/>
      <c r="S10" s="134"/>
    </row>
    <row r="11" spans="1:19" ht="183" customHeight="1" thickBot="1">
      <c r="A11" s="138" t="s">
        <v>31</v>
      </c>
      <c r="B11" s="134" t="s">
        <v>32</v>
      </c>
      <c r="C11" s="134" t="s">
        <v>14</v>
      </c>
      <c r="D11" s="134" t="s">
        <v>33</v>
      </c>
      <c r="E11" s="182" t="e">
        <f>#REF!/#REF!*100</f>
        <v>#REF!</v>
      </c>
      <c r="F11" s="182" t="e">
        <f>#REF!/#REF!*100</f>
        <v>#REF!</v>
      </c>
      <c r="G11" s="182" t="e">
        <f>#REF!/#REF!*100</f>
        <v>#REF!</v>
      </c>
      <c r="H11" s="182" t="e">
        <f>#REF!/#REF!*100</f>
        <v>#REF!</v>
      </c>
      <c r="I11" s="182" t="e">
        <f>#REF!/#REF!*100</f>
        <v>#REF!</v>
      </c>
      <c r="J11" s="139" t="e">
        <f>#REF!/#REF!*100</f>
        <v>#REF!</v>
      </c>
      <c r="K11" s="139" t="e">
        <f>#REF!/#REF!*100</f>
        <v>#REF!</v>
      </c>
      <c r="L11" s="139" t="e">
        <f>#REF!/#REF!*100</f>
        <v>#REF!</v>
      </c>
      <c r="M11" s="139" t="e">
        <f>#REF!/#REF!*100</f>
        <v>#REF!</v>
      </c>
      <c r="N11" s="139" t="e">
        <f>#REF!/#REF!*100</f>
        <v>#REF!</v>
      </c>
      <c r="O11" s="139" t="e">
        <f>#REF!/#REF!*100</f>
        <v>#REF!</v>
      </c>
      <c r="P11" s="139" t="e">
        <f>#REF!/#REF!*100</f>
        <v>#REF!</v>
      </c>
      <c r="Q11" s="139" t="e">
        <f>#REF!/#REF!*100</f>
        <v>#REF!</v>
      </c>
      <c r="R11" s="134"/>
      <c r="S11" s="134"/>
    </row>
    <row r="12" spans="1:19" ht="174.75" customHeight="1" thickBot="1">
      <c r="A12" s="138" t="s">
        <v>34</v>
      </c>
      <c r="B12" s="134" t="s">
        <v>35</v>
      </c>
      <c r="C12" s="134" t="s">
        <v>14</v>
      </c>
      <c r="D12" s="134" t="s">
        <v>42</v>
      </c>
      <c r="E12" s="139" t="e">
        <f>(#REF!/#REF!)*100</f>
        <v>#REF!</v>
      </c>
      <c r="F12" s="183" t="e">
        <f>(#REF!/#REF!)*100</f>
        <v>#REF!</v>
      </c>
      <c r="G12" s="183" t="e">
        <f>(#REF!/#REF!)*100</f>
        <v>#REF!</v>
      </c>
      <c r="H12" s="183" t="e">
        <f>(#REF!/#REF!)*100</f>
        <v>#REF!</v>
      </c>
      <c r="I12" s="183" t="e">
        <f>(#REF!/#REF!)*100</f>
        <v>#REF!</v>
      </c>
      <c r="J12" s="183" t="e">
        <f>(#REF!/#REF!)*100</f>
        <v>#REF!</v>
      </c>
      <c r="K12" s="183" t="e">
        <f>(#REF!/#REF!)*100</f>
        <v>#REF!</v>
      </c>
      <c r="L12" s="183" t="e">
        <f>(#REF!/#REF!)*100</f>
        <v>#REF!</v>
      </c>
      <c r="M12" s="183" t="e">
        <f>(#REF!/#REF!)*100</f>
        <v>#REF!</v>
      </c>
      <c r="N12" s="183" t="e">
        <f>(#REF!/#REF!)*100</f>
        <v>#REF!</v>
      </c>
      <c r="O12" s="183" t="e">
        <f>(#REF!/#REF!)*100</f>
        <v>#REF!</v>
      </c>
      <c r="P12" s="183" t="e">
        <f>(#REF!/#REF!)*100</f>
        <v>#REF!</v>
      </c>
      <c r="Q12" s="183" t="e">
        <f>(#REF!/#REF!)*100</f>
        <v>#REF!</v>
      </c>
      <c r="R12" s="134"/>
      <c r="S12" s="134"/>
    </row>
    <row r="13" spans="1:19" ht="135.75" customHeight="1" thickBot="1">
      <c r="A13" s="138" t="s">
        <v>43</v>
      </c>
      <c r="B13" s="134" t="s">
        <v>44</v>
      </c>
      <c r="C13" s="134" t="s">
        <v>486</v>
      </c>
      <c r="D13" s="134" t="s">
        <v>45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 t="e">
        <f>#REF!-#REF!</f>
        <v>#REF!</v>
      </c>
      <c r="M13" s="134" t="e">
        <f>#REF!-#REF!</f>
        <v>#REF!</v>
      </c>
      <c r="N13" s="134" t="e">
        <f>#REF!-#REF!</f>
        <v>#REF!</v>
      </c>
      <c r="O13" s="134" t="e">
        <f>#REF!-#REF!</f>
        <v>#REF!</v>
      </c>
      <c r="P13" s="134" t="e">
        <f>#REF!-#REF!</f>
        <v>#REF!</v>
      </c>
      <c r="Q13" s="134" t="e">
        <f>#REF!-#REF!</f>
        <v>#REF!</v>
      </c>
      <c r="R13" s="134"/>
      <c r="S13" s="134" t="s">
        <v>46</v>
      </c>
    </row>
    <row r="14" spans="1:19" ht="171.75" customHeight="1" thickBot="1">
      <c r="A14" s="138" t="s">
        <v>47</v>
      </c>
      <c r="B14" s="134" t="s">
        <v>48</v>
      </c>
      <c r="C14" s="134" t="s">
        <v>14</v>
      </c>
      <c r="D14" s="134" t="s">
        <v>49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/>
      <c r="S14" s="140"/>
    </row>
    <row r="15" spans="1:19" ht="47.25" customHeight="1" thickBot="1">
      <c r="A15" s="668" t="s">
        <v>50</v>
      </c>
      <c r="B15" s="669"/>
      <c r="C15" s="669"/>
      <c r="D15" s="669"/>
      <c r="E15" s="669"/>
      <c r="F15" s="669"/>
      <c r="G15" s="669"/>
      <c r="H15" s="669"/>
      <c r="I15" s="669"/>
      <c r="J15" s="669"/>
      <c r="K15" s="669"/>
      <c r="L15" s="669"/>
      <c r="M15" s="669"/>
      <c r="N15" s="669"/>
      <c r="O15" s="669"/>
      <c r="P15" s="669"/>
      <c r="Q15" s="669"/>
      <c r="R15" s="669"/>
      <c r="S15" s="670"/>
    </row>
    <row r="16" spans="1:20" ht="105.75" customHeight="1" thickBot="1">
      <c r="A16" s="138" t="s">
        <v>51</v>
      </c>
      <c r="B16" s="134" t="s">
        <v>52</v>
      </c>
      <c r="C16" s="134" t="s">
        <v>468</v>
      </c>
      <c r="D16" s="134"/>
      <c r="E16" s="134">
        <v>0</v>
      </c>
      <c r="F16" s="141">
        <v>0</v>
      </c>
      <c r="G16" s="141">
        <v>0</v>
      </c>
      <c r="H16" s="141" t="e">
        <f>#REF!</f>
        <v>#REF!</v>
      </c>
      <c r="I16" s="141" t="e">
        <f>((#REF!/#REF!-#REF!/#REF!)/(#REF!/#REF!))*#REF!</f>
        <v>#REF!</v>
      </c>
      <c r="J16" s="141" t="e">
        <f>((#REF!/#REF!-#REF!/#REF!)/(#REF!/#REF!))*#REF!</f>
        <v>#REF!</v>
      </c>
      <c r="K16" s="141" t="e">
        <f>((#REF!/#REF!-#REF!/#REF!)/(#REF!/#REF!))*#REF!</f>
        <v>#REF!</v>
      </c>
      <c r="L16" s="141" t="e">
        <f>((#REF!/#REF!-#REF!/#REF!)/(#REF!/#REF!))*#REF!</f>
        <v>#REF!</v>
      </c>
      <c r="M16" s="141" t="e">
        <f>((#REF!/#REF!-#REF!/#REF!)/(#REF!/#REF!))*#REF!</f>
        <v>#REF!</v>
      </c>
      <c r="N16" s="141" t="e">
        <f>((#REF!/#REF!-#REF!/#REF!)/(#REF!/#REF!))*#REF!</f>
        <v>#REF!</v>
      </c>
      <c r="O16" s="141" t="e">
        <f>((#REF!/#REF!-#REF!/#REF!)/(#REF!/#REF!))*#REF!</f>
        <v>#REF!</v>
      </c>
      <c r="P16" s="141" t="e">
        <f>((#REF!/#REF!-#REF!/#REF!)/(#REF!/#REF!))*#REF!</f>
        <v>#REF!</v>
      </c>
      <c r="Q16" s="141" t="e">
        <f>((#REF!/#REF!-#REF!/#REF!)/(#REF!/#REF!))*#REF!</f>
        <v>#REF!</v>
      </c>
      <c r="R16" s="134"/>
      <c r="S16" s="134" t="s">
        <v>53</v>
      </c>
      <c r="T16" s="153" t="e">
        <f>I16+J16+K16+L16+M16+N16+O16+P16+Q16</f>
        <v>#REF!</v>
      </c>
    </row>
    <row r="17" spans="1:20" ht="81.75" customHeight="1" thickBot="1">
      <c r="A17" s="138" t="s">
        <v>54</v>
      </c>
      <c r="B17" s="134" t="s">
        <v>55</v>
      </c>
      <c r="C17" s="134" t="s">
        <v>406</v>
      </c>
      <c r="D17" s="134" t="s">
        <v>56</v>
      </c>
      <c r="E17" s="134" t="e">
        <f>E16*#REF!</f>
        <v>#REF!</v>
      </c>
      <c r="F17" s="141" t="e">
        <f>F16*#REF!</f>
        <v>#REF!</v>
      </c>
      <c r="G17" s="141" t="e">
        <f>G16*#REF!</f>
        <v>#REF!</v>
      </c>
      <c r="H17" s="141" t="e">
        <f>H16*#REF!</f>
        <v>#REF!</v>
      </c>
      <c r="I17" s="141" t="e">
        <f>I16*#REF!</f>
        <v>#REF!</v>
      </c>
      <c r="J17" s="141" t="e">
        <f>J16*#REF!</f>
        <v>#REF!</v>
      </c>
      <c r="K17" s="141" t="e">
        <f>K16*#REF!</f>
        <v>#REF!</v>
      </c>
      <c r="L17" s="141" t="e">
        <f>L16*#REF!</f>
        <v>#REF!</v>
      </c>
      <c r="M17" s="141" t="e">
        <f>M16*#REF!</f>
        <v>#REF!</v>
      </c>
      <c r="N17" s="141" t="e">
        <f>N16*#REF!</f>
        <v>#REF!</v>
      </c>
      <c r="O17" s="141" t="e">
        <f>O16*#REF!</f>
        <v>#REF!</v>
      </c>
      <c r="P17" s="141" t="e">
        <f>P16*#REF!</f>
        <v>#REF!</v>
      </c>
      <c r="Q17" s="141" t="e">
        <f>Q16*#REF!</f>
        <v>#REF!</v>
      </c>
      <c r="R17" s="134"/>
      <c r="S17" s="134" t="s">
        <v>57</v>
      </c>
      <c r="T17" s="153" t="e">
        <f aca="true" t="shared" si="0" ref="T17:T23">I17+J17+K17+L17+M17+N17+O17+P17+Q17</f>
        <v>#REF!</v>
      </c>
    </row>
    <row r="18" spans="1:20" ht="111" customHeight="1" thickBot="1">
      <c r="A18" s="138" t="s">
        <v>58</v>
      </c>
      <c r="B18" s="134" t="s">
        <v>59</v>
      </c>
      <c r="C18" s="134" t="s">
        <v>470</v>
      </c>
      <c r="D18" s="134"/>
      <c r="E18" s="134">
        <v>0</v>
      </c>
      <c r="F18" s="141">
        <v>0</v>
      </c>
      <c r="G18" s="141">
        <v>0</v>
      </c>
      <c r="H18" s="141" t="e">
        <f>#REF!</f>
        <v>#REF!</v>
      </c>
      <c r="I18" s="141" t="e">
        <f>((#REF!/#REF!-#REF!/#REF!)/(#REF!/#REF!))*#REF!</f>
        <v>#REF!</v>
      </c>
      <c r="J18" s="141" t="e">
        <f>((#REF!/#REF!-#REF!/#REF!)/(#REF!/#REF!))*#REF!</f>
        <v>#REF!</v>
      </c>
      <c r="K18" s="141" t="e">
        <f>((#REF!/#REF!-#REF!/#REF!)/(#REF!/#REF!))*#REF!</f>
        <v>#REF!</v>
      </c>
      <c r="L18" s="141" t="e">
        <f>((#REF!/#REF!-#REF!/#REF!)/(#REF!/#REF!))*#REF!</f>
        <v>#REF!</v>
      </c>
      <c r="M18" s="141" t="e">
        <f>((#REF!/#REF!-#REF!/#REF!)/(#REF!/#REF!))*#REF!</f>
        <v>#REF!</v>
      </c>
      <c r="N18" s="141" t="e">
        <f>((#REF!/#REF!-#REF!/#REF!)/(#REF!/#REF!))*#REF!</f>
        <v>#REF!</v>
      </c>
      <c r="O18" s="141" t="e">
        <f>((#REF!/#REF!-#REF!/#REF!)/(#REF!/#REF!))*#REF!</f>
        <v>#REF!</v>
      </c>
      <c r="P18" s="141" t="e">
        <f>((#REF!/#REF!-#REF!/#REF!)/(#REF!/#REF!))*#REF!</f>
        <v>#REF!</v>
      </c>
      <c r="Q18" s="141" t="e">
        <f>((#REF!/#REF!-#REF!/#REF!)/(#REF!/#REF!))*#REF!</f>
        <v>#REF!</v>
      </c>
      <c r="R18" s="134"/>
      <c r="S18" s="134" t="s">
        <v>61</v>
      </c>
      <c r="T18" s="153" t="e">
        <f t="shared" si="0"/>
        <v>#REF!</v>
      </c>
    </row>
    <row r="19" spans="1:20" ht="99" customHeight="1" thickBot="1">
      <c r="A19" s="138" t="s">
        <v>62</v>
      </c>
      <c r="B19" s="134" t="s">
        <v>63</v>
      </c>
      <c r="C19" s="134" t="s">
        <v>571</v>
      </c>
      <c r="D19" s="134" t="s">
        <v>64</v>
      </c>
      <c r="E19" s="134" t="e">
        <f>E18*#REF!</f>
        <v>#REF!</v>
      </c>
      <c r="F19" s="141" t="e">
        <f>F18*#REF!</f>
        <v>#REF!</v>
      </c>
      <c r="G19" s="141" t="e">
        <f>G18*#REF!</f>
        <v>#REF!</v>
      </c>
      <c r="H19" s="141" t="e">
        <f>H18*#REF!</f>
        <v>#REF!</v>
      </c>
      <c r="I19" s="141" t="e">
        <f>I18*#REF!</f>
        <v>#REF!</v>
      </c>
      <c r="J19" s="141" t="e">
        <f>J18*#REF!</f>
        <v>#REF!</v>
      </c>
      <c r="K19" s="141" t="e">
        <f>K18*#REF!</f>
        <v>#REF!</v>
      </c>
      <c r="L19" s="141" t="e">
        <f>L18*#REF!</f>
        <v>#REF!</v>
      </c>
      <c r="M19" s="141" t="e">
        <f>M18*#REF!</f>
        <v>#REF!</v>
      </c>
      <c r="N19" s="141" t="e">
        <f>N18*#REF!</f>
        <v>#REF!</v>
      </c>
      <c r="O19" s="141" t="e">
        <f>O18*#REF!</f>
        <v>#REF!</v>
      </c>
      <c r="P19" s="141" t="e">
        <f>P18*#REF!</f>
        <v>#REF!</v>
      </c>
      <c r="Q19" s="141" t="e">
        <f>Q18*#REF!</f>
        <v>#REF!</v>
      </c>
      <c r="R19" s="134"/>
      <c r="S19" s="134" t="s">
        <v>65</v>
      </c>
      <c r="T19" s="153" t="e">
        <f t="shared" si="0"/>
        <v>#REF!</v>
      </c>
    </row>
    <row r="20" spans="1:20" ht="105.75" thickBot="1">
      <c r="A20" s="138" t="s">
        <v>66</v>
      </c>
      <c r="B20" s="134" t="s">
        <v>67</v>
      </c>
      <c r="C20" s="134" t="s">
        <v>572</v>
      </c>
      <c r="D20" s="134"/>
      <c r="E20" s="134">
        <v>0</v>
      </c>
      <c r="F20" s="141">
        <v>0</v>
      </c>
      <c r="G20" s="141">
        <v>0</v>
      </c>
      <c r="H20" s="141" t="e">
        <f>#REF!</f>
        <v>#REF!</v>
      </c>
      <c r="I20" s="141" t="e">
        <f>((#REF!/#REF!-#REF!/#REF!)/(#REF!/#REF!))*#REF!</f>
        <v>#REF!</v>
      </c>
      <c r="J20" s="141" t="e">
        <f>((#REF!/#REF!-#REF!/#REF!)/(#REF!/#REF!))*#REF!</f>
        <v>#REF!</v>
      </c>
      <c r="K20" s="141" t="e">
        <f>((#REF!/#REF!-#REF!/#REF!)/(#REF!/#REF!))*#REF!</f>
        <v>#REF!</v>
      </c>
      <c r="L20" s="141" t="e">
        <f>((#REF!/#REF!-#REF!/#REF!)/(#REF!/#REF!))*#REF!</f>
        <v>#REF!</v>
      </c>
      <c r="M20" s="141" t="e">
        <f>((#REF!/#REF!-#REF!/#REF!)/(#REF!/#REF!))*#REF!</f>
        <v>#REF!</v>
      </c>
      <c r="N20" s="141" t="e">
        <f>((#REF!/#REF!-#REF!/#REF!)/(#REF!/#REF!))*#REF!</f>
        <v>#REF!</v>
      </c>
      <c r="O20" s="141" t="e">
        <f>((#REF!/#REF!-#REF!/#REF!)/(#REF!/#REF!))*#REF!</f>
        <v>#REF!</v>
      </c>
      <c r="P20" s="141" t="e">
        <f>((#REF!/#REF!-#REF!/#REF!)/(#REF!/#REF!))*#REF!</f>
        <v>#REF!</v>
      </c>
      <c r="Q20" s="141" t="e">
        <f>((#REF!/#REF!-#REF!/#REF!)/(#REF!/#REF!))*#REF!</f>
        <v>#REF!</v>
      </c>
      <c r="R20" s="134"/>
      <c r="S20" s="134" t="s">
        <v>75</v>
      </c>
      <c r="T20" s="153" t="e">
        <f t="shared" si="0"/>
        <v>#REF!</v>
      </c>
    </row>
    <row r="21" spans="1:20" ht="75.75" thickBot="1">
      <c r="A21" s="138" t="s">
        <v>76</v>
      </c>
      <c r="B21" s="134" t="s">
        <v>77</v>
      </c>
      <c r="C21" s="134" t="s">
        <v>406</v>
      </c>
      <c r="D21" s="134" t="s">
        <v>78</v>
      </c>
      <c r="E21" s="134" t="e">
        <f>E20*#REF!</f>
        <v>#REF!</v>
      </c>
      <c r="F21" s="141" t="e">
        <f>F20*#REF!</f>
        <v>#REF!</v>
      </c>
      <c r="G21" s="141" t="e">
        <f>G20*#REF!</f>
        <v>#REF!</v>
      </c>
      <c r="H21" s="141" t="e">
        <f>H20*#REF!</f>
        <v>#REF!</v>
      </c>
      <c r="I21" s="141" t="e">
        <f>I20*#REF!</f>
        <v>#REF!</v>
      </c>
      <c r="J21" s="141" t="e">
        <f>J20*#REF!</f>
        <v>#REF!</v>
      </c>
      <c r="K21" s="141" t="e">
        <f>K20*#REF!</f>
        <v>#REF!</v>
      </c>
      <c r="L21" s="141" t="e">
        <f>L20*#REF!</f>
        <v>#REF!</v>
      </c>
      <c r="M21" s="141" t="e">
        <f>M20*#REF!</f>
        <v>#REF!</v>
      </c>
      <c r="N21" s="141" t="e">
        <f>N20*#REF!</f>
        <v>#REF!</v>
      </c>
      <c r="O21" s="141" t="e">
        <f>O20*#REF!</f>
        <v>#REF!</v>
      </c>
      <c r="P21" s="141" t="e">
        <f>P20*#REF!</f>
        <v>#REF!</v>
      </c>
      <c r="Q21" s="141" t="e">
        <f>Q20*#REF!</f>
        <v>#REF!</v>
      </c>
      <c r="R21" s="134"/>
      <c r="S21" s="134" t="s">
        <v>79</v>
      </c>
      <c r="T21" s="153" t="e">
        <f t="shared" si="0"/>
        <v>#REF!</v>
      </c>
    </row>
    <row r="22" spans="1:20" ht="107.25" customHeight="1" thickBot="1">
      <c r="A22" s="138" t="s">
        <v>80</v>
      </c>
      <c r="B22" s="134" t="s">
        <v>81</v>
      </c>
      <c r="C22" s="134" t="s">
        <v>472</v>
      </c>
      <c r="D22" s="134"/>
      <c r="E22" s="134">
        <v>0</v>
      </c>
      <c r="F22" s="139">
        <v>0</v>
      </c>
      <c r="G22" s="139">
        <v>0</v>
      </c>
      <c r="H22" s="139" t="e">
        <f>#REF!</f>
        <v>#REF!</v>
      </c>
      <c r="I22" s="139" t="e">
        <f>((#REF!/#REF!-#REF!/#REF!)/(#REF!/#REF!))*#REF!</f>
        <v>#REF!</v>
      </c>
      <c r="J22" s="139" t="e">
        <f>((#REF!/#REF!-#REF!/#REF!)/(#REF!/#REF!))*#REF!</f>
        <v>#REF!</v>
      </c>
      <c r="K22" s="139" t="e">
        <f>((#REF!/#REF!-#REF!/#REF!)/(#REF!/#REF!))*#REF!</f>
        <v>#REF!</v>
      </c>
      <c r="L22" s="139" t="e">
        <f>((#REF!/#REF!-#REF!/#REF!)/(#REF!/#REF!))*#REF!</f>
        <v>#REF!</v>
      </c>
      <c r="M22" s="139" t="e">
        <f>((#REF!/#REF!-#REF!/#REF!)/(#REF!/#REF!))*#REF!</f>
        <v>#REF!</v>
      </c>
      <c r="N22" s="139" t="e">
        <f>((#REF!/#REF!-#REF!/#REF!)/(#REF!/#REF!))*#REF!</f>
        <v>#REF!</v>
      </c>
      <c r="O22" s="139" t="e">
        <f>((#REF!/#REF!-#REF!/#REF!)/(#REF!/#REF!))*#REF!</f>
        <v>#REF!</v>
      </c>
      <c r="P22" s="139" t="e">
        <f>((#REF!/#REF!-#REF!/#REF!)/(#REF!/#REF!))*#REF!</f>
        <v>#REF!</v>
      </c>
      <c r="Q22" s="139" t="e">
        <f>((#REF!/#REF!-#REF!/#REF!)/(#REF!/#REF!))*#REF!</f>
        <v>#REF!</v>
      </c>
      <c r="R22" s="134"/>
      <c r="S22" s="134" t="s">
        <v>82</v>
      </c>
      <c r="T22" s="153" t="e">
        <f t="shared" si="0"/>
        <v>#REF!</v>
      </c>
    </row>
    <row r="23" spans="1:20" ht="90.75" customHeight="1" thickBot="1">
      <c r="A23" s="138" t="s">
        <v>83</v>
      </c>
      <c r="B23" s="134" t="s">
        <v>84</v>
      </c>
      <c r="C23" s="134" t="s">
        <v>85</v>
      </c>
      <c r="D23" s="134" t="s">
        <v>86</v>
      </c>
      <c r="E23" s="134" t="e">
        <f>E22*#REF!</f>
        <v>#REF!</v>
      </c>
      <c r="F23" s="139" t="e">
        <f>F22*#REF!</f>
        <v>#REF!</v>
      </c>
      <c r="G23" s="139" t="e">
        <f>G22*#REF!</f>
        <v>#REF!</v>
      </c>
      <c r="H23" s="139" t="e">
        <f>H22*#REF!</f>
        <v>#REF!</v>
      </c>
      <c r="I23" s="139" t="e">
        <f>I22*#REF!</f>
        <v>#REF!</v>
      </c>
      <c r="J23" s="139" t="e">
        <f>J22*#REF!</f>
        <v>#REF!</v>
      </c>
      <c r="K23" s="139" t="e">
        <f>K22*#REF!</f>
        <v>#REF!</v>
      </c>
      <c r="L23" s="139" t="e">
        <f>L22*#REF!</f>
        <v>#REF!</v>
      </c>
      <c r="M23" s="139" t="e">
        <f>M22*#REF!</f>
        <v>#REF!</v>
      </c>
      <c r="N23" s="139" t="e">
        <f>N22*#REF!</f>
        <v>#REF!</v>
      </c>
      <c r="O23" s="139" t="e">
        <f>O22*#REF!</f>
        <v>#REF!</v>
      </c>
      <c r="P23" s="139" t="e">
        <f>P22*#REF!</f>
        <v>#REF!</v>
      </c>
      <c r="Q23" s="139" t="e">
        <f>Q22*#REF!</f>
        <v>#REF!</v>
      </c>
      <c r="R23" s="134"/>
      <c r="S23" s="134" t="s">
        <v>87</v>
      </c>
      <c r="T23" s="153" t="e">
        <f t="shared" si="0"/>
        <v>#REF!</v>
      </c>
    </row>
    <row r="24" spans="1:19" ht="40.5" customHeight="1" thickBot="1">
      <c r="A24" s="668" t="s">
        <v>88</v>
      </c>
      <c r="B24" s="669"/>
      <c r="C24" s="669"/>
      <c r="D24" s="669"/>
      <c r="E24" s="669"/>
      <c r="F24" s="669"/>
      <c r="G24" s="669"/>
      <c r="H24" s="669"/>
      <c r="I24" s="669"/>
      <c r="J24" s="669"/>
      <c r="K24" s="669"/>
      <c r="L24" s="669"/>
      <c r="M24" s="669"/>
      <c r="N24" s="669"/>
      <c r="O24" s="669"/>
      <c r="P24" s="669"/>
      <c r="Q24" s="669"/>
      <c r="R24" s="669"/>
      <c r="S24" s="670"/>
    </row>
    <row r="25" spans="1:19" ht="103.5" customHeight="1" thickBot="1">
      <c r="A25" s="138" t="s">
        <v>89</v>
      </c>
      <c r="B25" s="134" t="s">
        <v>90</v>
      </c>
      <c r="C25" s="134" t="s">
        <v>573</v>
      </c>
      <c r="D25" s="134" t="s">
        <v>92</v>
      </c>
      <c r="E25" s="142" t="e">
        <f>#REF!/#REF!</f>
        <v>#REF!</v>
      </c>
      <c r="F25" s="142" t="e">
        <f>#REF!/#REF!</f>
        <v>#REF!</v>
      </c>
      <c r="G25" s="142" t="e">
        <f>#REF!/#REF!</f>
        <v>#REF!</v>
      </c>
      <c r="H25" s="142" t="e">
        <f>#REF!/#REF!</f>
        <v>#REF!</v>
      </c>
      <c r="I25" s="142" t="e">
        <f>#REF!/#REF!</f>
        <v>#REF!</v>
      </c>
      <c r="J25" s="142" t="e">
        <f>#REF!/#REF!</f>
        <v>#REF!</v>
      </c>
      <c r="K25" s="142" t="e">
        <f>#REF!/#REF!</f>
        <v>#REF!</v>
      </c>
      <c r="L25" s="142" t="e">
        <f>#REF!/#REF!</f>
        <v>#REF!</v>
      </c>
      <c r="M25" s="142" t="e">
        <f>#REF!/#REF!</f>
        <v>#REF!</v>
      </c>
      <c r="N25" s="142" t="e">
        <f>#REF!/#REF!</f>
        <v>#REF!</v>
      </c>
      <c r="O25" s="142" t="e">
        <f>#REF!/#REF!</f>
        <v>#REF!</v>
      </c>
      <c r="P25" s="142" t="e">
        <f>#REF!/#REF!</f>
        <v>#REF!</v>
      </c>
      <c r="Q25" s="142" t="e">
        <f>#REF!/#REF!</f>
        <v>#REF!</v>
      </c>
      <c r="R25" s="134"/>
      <c r="S25" s="134"/>
    </row>
    <row r="26" spans="1:19" ht="101.25" customHeight="1" thickBot="1">
      <c r="A26" s="138" t="s">
        <v>93</v>
      </c>
      <c r="B26" s="134" t="s">
        <v>94</v>
      </c>
      <c r="C26" s="134" t="s">
        <v>573</v>
      </c>
      <c r="D26" s="134" t="s">
        <v>0</v>
      </c>
      <c r="E26" s="143" t="e">
        <f>#REF!/#REF!</f>
        <v>#REF!</v>
      </c>
      <c r="F26" s="239" t="e">
        <f>#REF!/#REF!</f>
        <v>#REF!</v>
      </c>
      <c r="G26" s="143" t="e">
        <f>#REF!/#REF!</f>
        <v>#REF!</v>
      </c>
      <c r="H26" s="142" t="e">
        <f>#REF!/#REF!</f>
        <v>#REF!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/>
      <c r="S26" s="134"/>
    </row>
    <row r="27" spans="1:19" ht="99.75" customHeight="1" thickBot="1">
      <c r="A27" s="138" t="s">
        <v>95</v>
      </c>
      <c r="B27" s="134" t="s">
        <v>96</v>
      </c>
      <c r="C27" s="134" t="s">
        <v>573</v>
      </c>
      <c r="D27" s="134" t="s">
        <v>1</v>
      </c>
      <c r="E27" s="231">
        <v>0</v>
      </c>
      <c r="F27" s="233">
        <v>0</v>
      </c>
      <c r="G27" s="134" t="e">
        <f aca="true" t="shared" si="1" ref="G27:Q27">G25-$G$25</f>
        <v>#REF!</v>
      </c>
      <c r="H27" s="142" t="e">
        <f t="shared" si="1"/>
        <v>#REF!</v>
      </c>
      <c r="I27" s="142" t="e">
        <f t="shared" si="1"/>
        <v>#REF!</v>
      </c>
      <c r="J27" s="142" t="e">
        <f t="shared" si="1"/>
        <v>#REF!</v>
      </c>
      <c r="K27" s="142" t="e">
        <f t="shared" si="1"/>
        <v>#REF!</v>
      </c>
      <c r="L27" s="142" t="e">
        <f t="shared" si="1"/>
        <v>#REF!</v>
      </c>
      <c r="M27" s="142" t="e">
        <f t="shared" si="1"/>
        <v>#REF!</v>
      </c>
      <c r="N27" s="142" t="e">
        <f t="shared" si="1"/>
        <v>#REF!</v>
      </c>
      <c r="O27" s="142" t="e">
        <f t="shared" si="1"/>
        <v>#REF!</v>
      </c>
      <c r="P27" s="142" t="e">
        <f t="shared" si="1"/>
        <v>#REF!</v>
      </c>
      <c r="Q27" s="142" t="e">
        <f t="shared" si="1"/>
        <v>#REF!</v>
      </c>
      <c r="R27" s="134"/>
      <c r="S27" s="134" t="s">
        <v>97</v>
      </c>
    </row>
    <row r="28" spans="1:19" ht="99" customHeight="1" thickBot="1">
      <c r="A28" s="138" t="s">
        <v>98</v>
      </c>
      <c r="B28" s="134" t="s">
        <v>99</v>
      </c>
      <c r="C28" s="134" t="s">
        <v>573</v>
      </c>
      <c r="D28" s="134" t="s">
        <v>2</v>
      </c>
      <c r="E28" s="234">
        <v>0</v>
      </c>
      <c r="F28" s="241">
        <v>0</v>
      </c>
      <c r="G28" s="143" t="e">
        <f aca="true" t="shared" si="2" ref="G28:Q28">G26-$G$26</f>
        <v>#REF!</v>
      </c>
      <c r="H28" s="143" t="e">
        <f t="shared" si="2"/>
        <v>#REF!</v>
      </c>
      <c r="I28" s="143" t="e">
        <f t="shared" si="2"/>
        <v>#REF!</v>
      </c>
      <c r="J28" s="143" t="e">
        <f t="shared" si="2"/>
        <v>#REF!</v>
      </c>
      <c r="K28" s="143" t="e">
        <f t="shared" si="2"/>
        <v>#REF!</v>
      </c>
      <c r="L28" s="143" t="e">
        <f t="shared" si="2"/>
        <v>#REF!</v>
      </c>
      <c r="M28" s="143" t="e">
        <f t="shared" si="2"/>
        <v>#REF!</v>
      </c>
      <c r="N28" s="143" t="e">
        <f t="shared" si="2"/>
        <v>#REF!</v>
      </c>
      <c r="O28" s="143" t="e">
        <f t="shared" si="2"/>
        <v>#REF!</v>
      </c>
      <c r="P28" s="143" t="e">
        <f t="shared" si="2"/>
        <v>#REF!</v>
      </c>
      <c r="Q28" s="143" t="e">
        <f t="shared" si="2"/>
        <v>#REF!</v>
      </c>
      <c r="R28" s="134"/>
      <c r="S28" s="134" t="s">
        <v>97</v>
      </c>
    </row>
    <row r="29" spans="1:19" ht="165" customHeight="1" thickBot="1">
      <c r="A29" s="138" t="s">
        <v>100</v>
      </c>
      <c r="B29" s="134" t="s">
        <v>101</v>
      </c>
      <c r="C29" s="134"/>
      <c r="D29" s="134" t="s">
        <v>3</v>
      </c>
      <c r="E29" s="235">
        <v>0</v>
      </c>
      <c r="F29" s="198">
        <v>0</v>
      </c>
      <c r="G29" s="144" t="e">
        <f aca="true" t="shared" si="3" ref="G29:Q29">(G26/G25)-($G$26/$G$25)</f>
        <v>#REF!</v>
      </c>
      <c r="H29" s="144" t="e">
        <f t="shared" si="3"/>
        <v>#REF!</v>
      </c>
      <c r="I29" s="144" t="e">
        <f t="shared" si="3"/>
        <v>#REF!</v>
      </c>
      <c r="J29" s="194" t="e">
        <f t="shared" si="3"/>
        <v>#REF!</v>
      </c>
      <c r="K29" s="144" t="e">
        <f t="shared" si="3"/>
        <v>#REF!</v>
      </c>
      <c r="L29" s="144" t="e">
        <f t="shared" si="3"/>
        <v>#REF!</v>
      </c>
      <c r="M29" s="144" t="e">
        <f t="shared" si="3"/>
        <v>#REF!</v>
      </c>
      <c r="N29" s="144" t="e">
        <f t="shared" si="3"/>
        <v>#REF!</v>
      </c>
      <c r="O29" s="144" t="e">
        <f t="shared" si="3"/>
        <v>#REF!</v>
      </c>
      <c r="P29" s="144" t="e">
        <f t="shared" si="3"/>
        <v>#REF!</v>
      </c>
      <c r="Q29" s="144" t="e">
        <f t="shared" si="3"/>
        <v>#REF!</v>
      </c>
      <c r="R29" s="144"/>
      <c r="S29" s="144"/>
    </row>
    <row r="30" spans="1:19" ht="91.5" customHeight="1" thickBot="1">
      <c r="A30" s="138" t="s">
        <v>103</v>
      </c>
      <c r="B30" s="144" t="s">
        <v>104</v>
      </c>
      <c r="C30" s="148" t="s">
        <v>105</v>
      </c>
      <c r="D30" s="148" t="s">
        <v>106</v>
      </c>
      <c r="E30" s="183" t="e">
        <f>#REF!/#REF!</f>
        <v>#REF!</v>
      </c>
      <c r="F30" s="183" t="e">
        <f>#REF!/#REF!</f>
        <v>#REF!</v>
      </c>
      <c r="G30" s="183" t="e">
        <f>#REF!/#REF!</f>
        <v>#REF!</v>
      </c>
      <c r="H30" s="183" t="e">
        <f>#REF!/#REF!</f>
        <v>#REF!</v>
      </c>
      <c r="I30" s="183" t="e">
        <f>#REF!/#REF!</f>
        <v>#REF!</v>
      </c>
      <c r="J30" s="142" t="e">
        <f>#REF!/#REF!</f>
        <v>#REF!</v>
      </c>
      <c r="K30" s="142" t="e">
        <f>#REF!/#REF!</f>
        <v>#REF!</v>
      </c>
      <c r="L30" s="142" t="e">
        <f>#REF!/#REF!</f>
        <v>#REF!</v>
      </c>
      <c r="M30" s="142" t="e">
        <f>#REF!/#REF!</f>
        <v>#REF!</v>
      </c>
      <c r="N30" s="142" t="e">
        <f>#REF!/#REF!</f>
        <v>#REF!</v>
      </c>
      <c r="O30" s="142" t="e">
        <f>#REF!/#REF!</f>
        <v>#REF!</v>
      </c>
      <c r="P30" s="142" t="e">
        <f>#REF!/#REF!</f>
        <v>#REF!</v>
      </c>
      <c r="Q30" s="142" t="e">
        <f>#REF!/#REF!</f>
        <v>#REF!</v>
      </c>
      <c r="R30" s="134"/>
      <c r="S30" s="134"/>
    </row>
    <row r="31" spans="1:19" ht="95.25" customHeight="1" thickBot="1">
      <c r="A31" s="138" t="s">
        <v>107</v>
      </c>
      <c r="B31" s="144" t="s">
        <v>108</v>
      </c>
      <c r="C31" s="148" t="s">
        <v>105</v>
      </c>
      <c r="D31" s="148" t="s">
        <v>109</v>
      </c>
      <c r="E31" s="149" t="e">
        <f>#REF!/#REF!</f>
        <v>#REF!</v>
      </c>
      <c r="F31" s="149" t="e">
        <f>#REF!/#REF!</f>
        <v>#REF!</v>
      </c>
      <c r="G31" s="149" t="e">
        <f>#REF!/#REF!</f>
        <v>#REF!</v>
      </c>
      <c r="H31" s="149" t="e">
        <f>#REF!/#REF!</f>
        <v>#REF!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34"/>
      <c r="S31" s="134"/>
    </row>
    <row r="32" spans="1:19" ht="105" customHeight="1" thickBot="1">
      <c r="A32" s="138" t="s">
        <v>110</v>
      </c>
      <c r="B32" s="134" t="s">
        <v>111</v>
      </c>
      <c r="C32" s="134" t="s">
        <v>105</v>
      </c>
      <c r="D32" s="134" t="s">
        <v>112</v>
      </c>
      <c r="E32" s="142">
        <v>0</v>
      </c>
      <c r="F32" s="142">
        <v>0</v>
      </c>
      <c r="G32" s="142" t="e">
        <f aca="true" t="shared" si="4" ref="G32:Q32">G30-$G$30</f>
        <v>#REF!</v>
      </c>
      <c r="H32" s="142" t="e">
        <f t="shared" si="4"/>
        <v>#REF!</v>
      </c>
      <c r="I32" s="143" t="e">
        <f t="shared" si="4"/>
        <v>#REF!</v>
      </c>
      <c r="J32" s="142" t="e">
        <f t="shared" si="4"/>
        <v>#REF!</v>
      </c>
      <c r="K32" s="142" t="e">
        <f t="shared" si="4"/>
        <v>#REF!</v>
      </c>
      <c r="L32" s="142" t="e">
        <f t="shared" si="4"/>
        <v>#REF!</v>
      </c>
      <c r="M32" s="142" t="e">
        <f t="shared" si="4"/>
        <v>#REF!</v>
      </c>
      <c r="N32" s="142" t="e">
        <f t="shared" si="4"/>
        <v>#REF!</v>
      </c>
      <c r="O32" s="142" t="e">
        <f t="shared" si="4"/>
        <v>#REF!</v>
      </c>
      <c r="P32" s="142" t="e">
        <f t="shared" si="4"/>
        <v>#REF!</v>
      </c>
      <c r="Q32" s="142" t="e">
        <f t="shared" si="4"/>
        <v>#REF!</v>
      </c>
      <c r="R32" s="134"/>
      <c r="S32" s="134" t="s">
        <v>97</v>
      </c>
    </row>
    <row r="33" spans="1:19" ht="101.25" customHeight="1" thickBot="1">
      <c r="A33" s="138" t="s">
        <v>113</v>
      </c>
      <c r="B33" s="134" t="s">
        <v>114</v>
      </c>
      <c r="C33" s="134" t="s">
        <v>105</v>
      </c>
      <c r="D33" s="134" t="s">
        <v>115</v>
      </c>
      <c r="E33" s="134">
        <v>0</v>
      </c>
      <c r="F33" s="134">
        <v>0</v>
      </c>
      <c r="G33" s="134" t="e">
        <f>G31-$G$31</f>
        <v>#REF!</v>
      </c>
      <c r="H33" s="134" t="e">
        <f aca="true" t="shared" si="5" ref="H33:Q33">H31-$G$31</f>
        <v>#REF!</v>
      </c>
      <c r="I33" s="142" t="e">
        <f t="shared" si="5"/>
        <v>#REF!</v>
      </c>
      <c r="J33" s="142" t="e">
        <f t="shared" si="5"/>
        <v>#REF!</v>
      </c>
      <c r="K33" s="142" t="e">
        <f t="shared" si="5"/>
        <v>#REF!</v>
      </c>
      <c r="L33" s="142" t="e">
        <f t="shared" si="5"/>
        <v>#REF!</v>
      </c>
      <c r="M33" s="142" t="e">
        <f t="shared" si="5"/>
        <v>#REF!</v>
      </c>
      <c r="N33" s="142" t="e">
        <f t="shared" si="5"/>
        <v>#REF!</v>
      </c>
      <c r="O33" s="142" t="e">
        <f t="shared" si="5"/>
        <v>#REF!</v>
      </c>
      <c r="P33" s="142" t="e">
        <f t="shared" si="5"/>
        <v>#REF!</v>
      </c>
      <c r="Q33" s="142" t="e">
        <f t="shared" si="5"/>
        <v>#REF!</v>
      </c>
      <c r="R33" s="134"/>
      <c r="S33" s="134" t="s">
        <v>97</v>
      </c>
    </row>
    <row r="34" spans="1:19" ht="189.75" customHeight="1" thickBot="1">
      <c r="A34" s="138" t="s">
        <v>116</v>
      </c>
      <c r="B34" s="134" t="s">
        <v>117</v>
      </c>
      <c r="C34" s="134" t="s">
        <v>102</v>
      </c>
      <c r="D34" s="134" t="s">
        <v>118</v>
      </c>
      <c r="E34" s="142">
        <v>0</v>
      </c>
      <c r="F34" s="142">
        <v>0</v>
      </c>
      <c r="G34" s="142" t="e">
        <f aca="true" t="shared" si="6" ref="G34:Q34">G31/G30-$G$31/$G$30</f>
        <v>#REF!</v>
      </c>
      <c r="H34" s="142" t="e">
        <f t="shared" si="6"/>
        <v>#REF!</v>
      </c>
      <c r="I34" s="142" t="e">
        <f t="shared" si="6"/>
        <v>#REF!</v>
      </c>
      <c r="J34" s="142" t="e">
        <f t="shared" si="6"/>
        <v>#REF!</v>
      </c>
      <c r="K34" s="142" t="e">
        <f t="shared" si="6"/>
        <v>#REF!</v>
      </c>
      <c r="L34" s="142" t="e">
        <f t="shared" si="6"/>
        <v>#REF!</v>
      </c>
      <c r="M34" s="142" t="e">
        <f t="shared" si="6"/>
        <v>#REF!</v>
      </c>
      <c r="N34" s="142" t="e">
        <f t="shared" si="6"/>
        <v>#REF!</v>
      </c>
      <c r="O34" s="142" t="e">
        <f t="shared" si="6"/>
        <v>#REF!</v>
      </c>
      <c r="P34" s="142" t="e">
        <f t="shared" si="6"/>
        <v>#REF!</v>
      </c>
      <c r="Q34" s="142" t="e">
        <f t="shared" si="6"/>
        <v>#REF!</v>
      </c>
      <c r="R34" s="134"/>
      <c r="S34" s="134"/>
    </row>
    <row r="35" spans="1:19" ht="101.25" customHeight="1" thickBot="1">
      <c r="A35" s="145" t="s">
        <v>119</v>
      </c>
      <c r="B35" s="134" t="s">
        <v>120</v>
      </c>
      <c r="C35" s="134" t="s">
        <v>121</v>
      </c>
      <c r="D35" s="134" t="s">
        <v>100</v>
      </c>
      <c r="E35" s="141" t="e">
        <f>#REF!/#REF!</f>
        <v>#REF!</v>
      </c>
      <c r="F35" s="141" t="e">
        <f>#REF!/#REF!</f>
        <v>#REF!</v>
      </c>
      <c r="G35" s="141" t="e">
        <f>#REF!/#REF!</f>
        <v>#REF!</v>
      </c>
      <c r="H35" s="141" t="e">
        <f>#REF!/#REF!</f>
        <v>#REF!</v>
      </c>
      <c r="I35" s="141" t="e">
        <f>#REF!/#REF!</f>
        <v>#REF!</v>
      </c>
      <c r="J35" s="141" t="e">
        <f>#REF!/#REF!</f>
        <v>#REF!</v>
      </c>
      <c r="K35" s="141" t="e">
        <f>#REF!/#REF!</f>
        <v>#REF!</v>
      </c>
      <c r="L35" s="141" t="e">
        <f>#REF!/#REF!</f>
        <v>#REF!</v>
      </c>
      <c r="M35" s="141" t="e">
        <f>#REF!/#REF!</f>
        <v>#REF!</v>
      </c>
      <c r="N35" s="141" t="e">
        <f>#REF!/#REF!</f>
        <v>#REF!</v>
      </c>
      <c r="O35" s="141" t="e">
        <f>#REF!/#REF!</f>
        <v>#REF!</v>
      </c>
      <c r="P35" s="141" t="e">
        <f>#REF!/#REF!</f>
        <v>#REF!</v>
      </c>
      <c r="Q35" s="141" t="e">
        <f>#REF!/#REF!</f>
        <v>#REF!</v>
      </c>
      <c r="R35" s="134"/>
      <c r="S35" s="134"/>
    </row>
    <row r="36" spans="1:19" ht="99" customHeight="1" thickBot="1">
      <c r="A36" s="138" t="s">
        <v>122</v>
      </c>
      <c r="B36" s="134" t="s">
        <v>123</v>
      </c>
      <c r="C36" s="134" t="s">
        <v>121</v>
      </c>
      <c r="D36" s="134" t="s">
        <v>103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/>
      <c r="S36" s="134"/>
    </row>
    <row r="37" spans="1:19" ht="94.5" customHeight="1" thickBot="1">
      <c r="A37" s="138" t="s">
        <v>124</v>
      </c>
      <c r="B37" s="134" t="s">
        <v>125</v>
      </c>
      <c r="C37" s="134" t="s">
        <v>121</v>
      </c>
      <c r="D37" s="134" t="s">
        <v>126</v>
      </c>
      <c r="E37" s="134">
        <v>0</v>
      </c>
      <c r="F37" s="134">
        <v>0</v>
      </c>
      <c r="G37" s="134" t="e">
        <f aca="true" t="shared" si="7" ref="G37:Q37">G35-$G$35</f>
        <v>#REF!</v>
      </c>
      <c r="H37" s="141" t="e">
        <f t="shared" si="7"/>
        <v>#REF!</v>
      </c>
      <c r="I37" s="141" t="e">
        <f t="shared" si="7"/>
        <v>#REF!</v>
      </c>
      <c r="J37" s="141" t="e">
        <f t="shared" si="7"/>
        <v>#REF!</v>
      </c>
      <c r="K37" s="141" t="e">
        <f t="shared" si="7"/>
        <v>#REF!</v>
      </c>
      <c r="L37" s="141" t="e">
        <f t="shared" si="7"/>
        <v>#REF!</v>
      </c>
      <c r="M37" s="141" t="e">
        <f t="shared" si="7"/>
        <v>#REF!</v>
      </c>
      <c r="N37" s="141" t="e">
        <f t="shared" si="7"/>
        <v>#REF!</v>
      </c>
      <c r="O37" s="141" t="e">
        <f t="shared" si="7"/>
        <v>#REF!</v>
      </c>
      <c r="P37" s="141" t="e">
        <f t="shared" si="7"/>
        <v>#REF!</v>
      </c>
      <c r="Q37" s="141" t="e">
        <f t="shared" si="7"/>
        <v>#REF!</v>
      </c>
      <c r="R37" s="134"/>
      <c r="S37" s="134" t="s">
        <v>97</v>
      </c>
    </row>
    <row r="38" spans="1:19" ht="97.5" customHeight="1" thickBot="1">
      <c r="A38" s="138" t="s">
        <v>127</v>
      </c>
      <c r="B38" s="134" t="s">
        <v>128</v>
      </c>
      <c r="C38" s="134" t="s">
        <v>121</v>
      </c>
      <c r="D38" s="134" t="s">
        <v>129</v>
      </c>
      <c r="E38" s="134">
        <f>E36-$G$36</f>
        <v>0</v>
      </c>
      <c r="F38" s="134">
        <f aca="true" t="shared" si="8" ref="F38:Q38">F36-$G$36</f>
        <v>0</v>
      </c>
      <c r="G38" s="134">
        <f t="shared" si="8"/>
        <v>0</v>
      </c>
      <c r="H38" s="134">
        <f t="shared" si="8"/>
        <v>0</v>
      </c>
      <c r="I38" s="134">
        <f t="shared" si="8"/>
        <v>0</v>
      </c>
      <c r="J38" s="134">
        <f t="shared" si="8"/>
        <v>0</v>
      </c>
      <c r="K38" s="134">
        <f t="shared" si="8"/>
        <v>0</v>
      </c>
      <c r="L38" s="134">
        <f t="shared" si="8"/>
        <v>0</v>
      </c>
      <c r="M38" s="134">
        <f t="shared" si="8"/>
        <v>0</v>
      </c>
      <c r="N38" s="134">
        <f t="shared" si="8"/>
        <v>0</v>
      </c>
      <c r="O38" s="134">
        <f t="shared" si="8"/>
        <v>0</v>
      </c>
      <c r="P38" s="134">
        <f t="shared" si="8"/>
        <v>0</v>
      </c>
      <c r="Q38" s="134">
        <f t="shared" si="8"/>
        <v>0</v>
      </c>
      <c r="R38" s="134"/>
      <c r="S38" s="134" t="s">
        <v>97</v>
      </c>
    </row>
    <row r="39" spans="1:19" ht="186" customHeight="1" thickBot="1">
      <c r="A39" s="138" t="s">
        <v>130</v>
      </c>
      <c r="B39" s="134" t="s">
        <v>131</v>
      </c>
      <c r="C39" s="134" t="s">
        <v>102</v>
      </c>
      <c r="D39" s="134" t="s">
        <v>132</v>
      </c>
      <c r="E39" s="139" t="e">
        <f>E36/E35-$G$36/$G$35</f>
        <v>#REF!</v>
      </c>
      <c r="F39" s="139" t="e">
        <f aca="true" t="shared" si="9" ref="F39:Q39">F36/F35-$G$36/$G$35</f>
        <v>#REF!</v>
      </c>
      <c r="G39" s="139" t="e">
        <f t="shared" si="9"/>
        <v>#REF!</v>
      </c>
      <c r="H39" s="139" t="e">
        <f t="shared" si="9"/>
        <v>#REF!</v>
      </c>
      <c r="I39" s="139" t="e">
        <f t="shared" si="9"/>
        <v>#REF!</v>
      </c>
      <c r="J39" s="139" t="e">
        <f t="shared" si="9"/>
        <v>#REF!</v>
      </c>
      <c r="K39" s="139" t="e">
        <f t="shared" si="9"/>
        <v>#REF!</v>
      </c>
      <c r="L39" s="139" t="e">
        <f t="shared" si="9"/>
        <v>#REF!</v>
      </c>
      <c r="M39" s="139" t="e">
        <f t="shared" si="9"/>
        <v>#REF!</v>
      </c>
      <c r="N39" s="139" t="e">
        <f t="shared" si="9"/>
        <v>#REF!</v>
      </c>
      <c r="O39" s="139" t="e">
        <f t="shared" si="9"/>
        <v>#REF!</v>
      </c>
      <c r="P39" s="139" t="e">
        <f t="shared" si="9"/>
        <v>#REF!</v>
      </c>
      <c r="Q39" s="139" t="e">
        <f t="shared" si="9"/>
        <v>#REF!</v>
      </c>
      <c r="R39" s="134"/>
      <c r="S39" s="134"/>
    </row>
    <row r="40" spans="1:19" ht="128.25" customHeight="1" thickBot="1">
      <c r="A40" s="138" t="s">
        <v>133</v>
      </c>
      <c r="B40" s="134" t="s">
        <v>134</v>
      </c>
      <c r="C40" s="134" t="s">
        <v>14</v>
      </c>
      <c r="D40" s="146" t="s">
        <v>135</v>
      </c>
      <c r="E40" s="141" t="e">
        <f>#REF!/(#REF!+#REF!)*100</f>
        <v>#REF!</v>
      </c>
      <c r="F40" s="141" t="e">
        <f>#REF!/(#REF!+#REF!)*100</f>
        <v>#REF!</v>
      </c>
      <c r="G40" s="141" t="e">
        <f>#REF!/(#REF!+#REF!)*100</f>
        <v>#REF!</v>
      </c>
      <c r="H40" s="141" t="e">
        <f>#REF!/(#REF!+#REF!)*100</f>
        <v>#REF!</v>
      </c>
      <c r="I40" s="141" t="e">
        <f>#REF!/(#REF!+#REF!)*100</f>
        <v>#REF!</v>
      </c>
      <c r="J40" s="141" t="e">
        <f>#REF!/(#REF!+#REF!)*100</f>
        <v>#REF!</v>
      </c>
      <c r="K40" s="141" t="e">
        <f>#REF!/(#REF!+#REF!)*100</f>
        <v>#REF!</v>
      </c>
      <c r="L40" s="141" t="e">
        <f>#REF!/(#REF!+#REF!)*100</f>
        <v>#REF!</v>
      </c>
      <c r="M40" s="141" t="e">
        <f>#REF!/(#REF!+#REF!)*100</f>
        <v>#REF!</v>
      </c>
      <c r="N40" s="141" t="e">
        <f>#REF!/(#REF!+#REF!)*100</f>
        <v>#REF!</v>
      </c>
      <c r="O40" s="141" t="e">
        <f>#REF!/(#REF!+#REF!)*100</f>
        <v>#REF!</v>
      </c>
      <c r="P40" s="141" t="e">
        <f>#REF!/(#REF!+#REF!)*100</f>
        <v>#REF!</v>
      </c>
      <c r="Q40" s="141" t="e">
        <f>#REF!/(#REF!+#REF!)*100</f>
        <v>#REF!</v>
      </c>
      <c r="R40" s="134"/>
      <c r="S40" s="134"/>
    </row>
    <row r="41" spans="1:19" ht="135" customHeight="1" thickBot="1">
      <c r="A41" s="138" t="s">
        <v>136</v>
      </c>
      <c r="B41" s="134" t="s">
        <v>137</v>
      </c>
      <c r="C41" s="134" t="s">
        <v>14</v>
      </c>
      <c r="D41" s="144" t="s">
        <v>138</v>
      </c>
      <c r="E41" s="141" t="e">
        <f>#REF!/(#REF!+#REF!)*100</f>
        <v>#REF!</v>
      </c>
      <c r="F41" s="141" t="e">
        <f>#REF!/(#REF!+#REF!)*100</f>
        <v>#REF!</v>
      </c>
      <c r="G41" s="141" t="e">
        <f>#REF!/(#REF!+#REF!)*100</f>
        <v>#REF!</v>
      </c>
      <c r="H41" s="141" t="e">
        <f>#REF!/(#REF!+#REF!)*100</f>
        <v>#REF!</v>
      </c>
      <c r="I41" s="141" t="e">
        <f>#REF!/(#REF!+#REF!)*100</f>
        <v>#REF!</v>
      </c>
      <c r="J41" s="141" t="e">
        <f>#REF!/(#REF!+#REF!)*100</f>
        <v>#REF!</v>
      </c>
      <c r="K41" s="141" t="e">
        <f>#REF!/(#REF!+#REF!)*100</f>
        <v>#REF!</v>
      </c>
      <c r="L41" s="141" t="e">
        <f>#REF!/(#REF!+#REF!)*100</f>
        <v>#REF!</v>
      </c>
      <c r="M41" s="141" t="e">
        <f>#REF!/(#REF!+#REF!)*100</f>
        <v>#REF!</v>
      </c>
      <c r="N41" s="141" t="e">
        <f>#REF!/(#REF!+#REF!)*100</f>
        <v>#REF!</v>
      </c>
      <c r="O41" s="141" t="e">
        <f>#REF!/(#REF!+#REF!)*100</f>
        <v>#REF!</v>
      </c>
      <c r="P41" s="141" t="e">
        <f>#REF!/(#REF!+#REF!)*100</f>
        <v>#REF!</v>
      </c>
      <c r="Q41" s="141" t="e">
        <f>#REF!/(#REF!+#REF!)*100</f>
        <v>#REF!</v>
      </c>
      <c r="R41" s="134"/>
      <c r="S41" s="134"/>
    </row>
    <row r="42" spans="1:19" ht="123.75" customHeight="1" thickBot="1">
      <c r="A42" s="138" t="s">
        <v>139</v>
      </c>
      <c r="B42" s="134" t="s">
        <v>140</v>
      </c>
      <c r="C42" s="134" t="s">
        <v>14</v>
      </c>
      <c r="D42" s="134" t="s">
        <v>141</v>
      </c>
      <c r="E42" s="142" t="e">
        <f>#REF!/(#REF!+#REF!)*100</f>
        <v>#REF!</v>
      </c>
      <c r="F42" s="142" t="e">
        <f>#REF!/(#REF!+#REF!)*100</f>
        <v>#REF!</v>
      </c>
      <c r="G42" s="142" t="e">
        <f>#REF!/(#REF!+#REF!)*100</f>
        <v>#REF!</v>
      </c>
      <c r="H42" s="142" t="e">
        <f>#REF!/(#REF!+#REF!)*100</f>
        <v>#REF!</v>
      </c>
      <c r="I42" s="141" t="e">
        <f>#REF!/(#REF!+#REF!)*100</f>
        <v>#REF!</v>
      </c>
      <c r="J42" s="141" t="e">
        <f>#REF!/(#REF!+#REF!)*100</f>
        <v>#REF!</v>
      </c>
      <c r="K42" s="141" t="e">
        <f>#REF!/(#REF!+#REF!)*100</f>
        <v>#REF!</v>
      </c>
      <c r="L42" s="141" t="e">
        <f>#REF!/(#REF!+#REF!)*100</f>
        <v>#REF!</v>
      </c>
      <c r="M42" s="141" t="e">
        <f>#REF!/(#REF!+#REF!)*100</f>
        <v>#REF!</v>
      </c>
      <c r="N42" s="141" t="e">
        <f>#REF!/(#REF!+#REF!)*100</f>
        <v>#REF!</v>
      </c>
      <c r="O42" s="141" t="e">
        <f>#REF!/(#REF!+#REF!)*100</f>
        <v>#REF!</v>
      </c>
      <c r="P42" s="141" t="e">
        <f>#REF!/(#REF!+#REF!)*100</f>
        <v>#REF!</v>
      </c>
      <c r="Q42" s="141" t="e">
        <f>#REF!/(#REF!+#REF!)*100</f>
        <v>#REF!</v>
      </c>
      <c r="R42" s="134"/>
      <c r="S42" s="134"/>
    </row>
    <row r="43" spans="1:19" ht="150.75" customHeight="1" thickBot="1">
      <c r="A43" s="138" t="s">
        <v>142</v>
      </c>
      <c r="B43" s="134" t="s">
        <v>143</v>
      </c>
      <c r="C43" s="134" t="s">
        <v>14</v>
      </c>
      <c r="D43" s="134" t="s">
        <v>144</v>
      </c>
      <c r="E43" s="141" t="e">
        <f>(#REF!/#REF!)*100</f>
        <v>#REF!</v>
      </c>
      <c r="F43" s="141" t="e">
        <f>(#REF!/#REF!)*100</f>
        <v>#REF!</v>
      </c>
      <c r="G43" s="141" t="e">
        <f>(#REF!/#REF!)*100</f>
        <v>#REF!</v>
      </c>
      <c r="H43" s="141" t="e">
        <f>(#REF!/#REF!)*100</f>
        <v>#REF!</v>
      </c>
      <c r="I43" s="141" t="e">
        <f>(#REF!/#REF!)*100</f>
        <v>#REF!</v>
      </c>
      <c r="J43" s="141" t="e">
        <f>(#REF!/#REF!)*100</f>
        <v>#REF!</v>
      </c>
      <c r="K43" s="141" t="e">
        <f>(#REF!/#REF!)*100</f>
        <v>#REF!</v>
      </c>
      <c r="L43" s="141" t="e">
        <f>(#REF!/#REF!)*100</f>
        <v>#REF!</v>
      </c>
      <c r="M43" s="141" t="e">
        <f>(#REF!/#REF!)*100</f>
        <v>#REF!</v>
      </c>
      <c r="N43" s="141" t="e">
        <f>(#REF!/#REF!)*100</f>
        <v>#REF!</v>
      </c>
      <c r="O43" s="141" t="e">
        <f>(#REF!/#REF!)*100</f>
        <v>#REF!</v>
      </c>
      <c r="P43" s="141" t="e">
        <f>(#REF!/#REF!)*100</f>
        <v>#REF!</v>
      </c>
      <c r="Q43" s="141" t="e">
        <f>(#REF!/#REF!)*100</f>
        <v>#REF!</v>
      </c>
      <c r="R43" s="134"/>
      <c r="S43" s="134"/>
    </row>
    <row r="44" spans="1:19" ht="67.5" customHeight="1" thickBot="1">
      <c r="A44" s="138" t="s">
        <v>145</v>
      </c>
      <c r="B44" s="134" t="s">
        <v>146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ht="81.75" customHeight="1" thickBot="1">
      <c r="A45" s="138" t="s">
        <v>147</v>
      </c>
      <c r="B45" s="134" t="s">
        <v>148</v>
      </c>
      <c r="C45" s="134" t="s">
        <v>14</v>
      </c>
      <c r="D45" s="134" t="s">
        <v>149</v>
      </c>
      <c r="E45" s="143" t="e">
        <f>#REF!/#REF!</f>
        <v>#REF!</v>
      </c>
      <c r="F45" s="143" t="e">
        <f>#REF!/#REF!</f>
        <v>#REF!</v>
      </c>
      <c r="G45" s="195" t="e">
        <f>#REF!/#REF!</f>
        <v>#REF!</v>
      </c>
      <c r="H45" s="195" t="e">
        <f>#REF!/#REF!</f>
        <v>#REF!</v>
      </c>
      <c r="I45" s="195" t="e">
        <f>#REF!/#REF!</f>
        <v>#REF!</v>
      </c>
      <c r="J45" s="195" t="e">
        <f>#REF!/#REF!</f>
        <v>#REF!</v>
      </c>
      <c r="K45" s="195" t="e">
        <f>#REF!/#REF!</f>
        <v>#REF!</v>
      </c>
      <c r="L45" s="195" t="e">
        <f>#REF!/#REF!</f>
        <v>#REF!</v>
      </c>
      <c r="M45" s="195" t="e">
        <f>#REF!/#REF!</f>
        <v>#REF!</v>
      </c>
      <c r="N45" s="195" t="e">
        <f>#REF!/#REF!</f>
        <v>#REF!</v>
      </c>
      <c r="O45" s="195" t="e">
        <f>#REF!/#REF!</f>
        <v>#REF!</v>
      </c>
      <c r="P45" s="195" t="e">
        <f>#REF!/#REF!</f>
        <v>#REF!</v>
      </c>
      <c r="Q45" s="195" t="e">
        <f>#REF!/#REF!</f>
        <v>#REF!</v>
      </c>
      <c r="R45" s="134"/>
      <c r="S45" s="134" t="s">
        <v>150</v>
      </c>
    </row>
    <row r="46" spans="1:19" ht="37.5" customHeight="1" thickBot="1">
      <c r="A46" s="145" t="s">
        <v>151</v>
      </c>
      <c r="B46" s="134" t="s">
        <v>152</v>
      </c>
      <c r="C46" s="134" t="s">
        <v>14</v>
      </c>
      <c r="D46" s="134" t="s">
        <v>153</v>
      </c>
      <c r="E46" s="143" t="e">
        <f>#REF!/#REF!</f>
        <v>#REF!</v>
      </c>
      <c r="F46" s="143" t="e">
        <f>#REF!/#REF!</f>
        <v>#REF!</v>
      </c>
      <c r="G46" s="143" t="e">
        <f>#REF!/#REF!</f>
        <v>#REF!</v>
      </c>
      <c r="H46" s="143" t="e">
        <f>#REF!/#REF!</f>
        <v>#REF!</v>
      </c>
      <c r="I46" s="143" t="e">
        <f>#REF!/#REF!</f>
        <v>#REF!</v>
      </c>
      <c r="J46" s="143" t="e">
        <f>#REF!/#REF!</f>
        <v>#REF!</v>
      </c>
      <c r="K46" s="143" t="e">
        <f>#REF!/#REF!</f>
        <v>#REF!</v>
      </c>
      <c r="L46" s="143" t="e">
        <f>#REF!/#REF!</f>
        <v>#REF!</v>
      </c>
      <c r="M46" s="143" t="e">
        <f>#REF!/#REF!</f>
        <v>#REF!</v>
      </c>
      <c r="N46" s="143" t="e">
        <f>#REF!/#REF!</f>
        <v>#REF!</v>
      </c>
      <c r="O46" s="143" t="e">
        <f>#REF!/#REF!</f>
        <v>#REF!</v>
      </c>
      <c r="P46" s="143" t="e">
        <f>#REF!/#REF!</f>
        <v>#REF!</v>
      </c>
      <c r="Q46" s="143" t="e">
        <f>#REF!/#REF!</f>
        <v>#REF!</v>
      </c>
      <c r="R46" s="134"/>
      <c r="S46" s="134"/>
    </row>
    <row r="47" spans="1:19" ht="105.75" thickBot="1">
      <c r="A47" s="138" t="s">
        <v>154</v>
      </c>
      <c r="B47" s="134" t="s">
        <v>155</v>
      </c>
      <c r="C47" s="14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 thickBot="1">
      <c r="A48" s="145" t="s">
        <v>156</v>
      </c>
      <c r="B48" s="134" t="s">
        <v>148</v>
      </c>
      <c r="C48" s="134" t="s">
        <v>14</v>
      </c>
      <c r="D48" s="134" t="s">
        <v>157</v>
      </c>
      <c r="E48" s="142" t="e">
        <f>(F45/E45)*100</f>
        <v>#REF!</v>
      </c>
      <c r="F48" s="142" t="e">
        <f aca="true" t="shared" si="10" ref="F48:P48">(G45/F45)*100</f>
        <v>#REF!</v>
      </c>
      <c r="G48" s="142" t="e">
        <f t="shared" si="10"/>
        <v>#REF!</v>
      </c>
      <c r="H48" s="142" t="e">
        <f t="shared" si="10"/>
        <v>#REF!</v>
      </c>
      <c r="I48" s="142" t="e">
        <f t="shared" si="10"/>
        <v>#REF!</v>
      </c>
      <c r="J48" s="142" t="e">
        <f t="shared" si="10"/>
        <v>#REF!</v>
      </c>
      <c r="K48" s="142" t="e">
        <f t="shared" si="10"/>
        <v>#REF!</v>
      </c>
      <c r="L48" s="142" t="e">
        <f t="shared" si="10"/>
        <v>#REF!</v>
      </c>
      <c r="M48" s="142" t="e">
        <f t="shared" si="10"/>
        <v>#REF!</v>
      </c>
      <c r="N48" s="142" t="e">
        <f t="shared" si="10"/>
        <v>#REF!</v>
      </c>
      <c r="O48" s="142" t="e">
        <f t="shared" si="10"/>
        <v>#REF!</v>
      </c>
      <c r="P48" s="142" t="e">
        <f t="shared" si="10"/>
        <v>#REF!</v>
      </c>
      <c r="Q48" s="142">
        <v>100</v>
      </c>
      <c r="R48" s="134"/>
      <c r="S48" s="134" t="s">
        <v>97</v>
      </c>
    </row>
    <row r="49" spans="1:19" ht="33.75" customHeight="1" thickBot="1">
      <c r="A49" s="138" t="s">
        <v>158</v>
      </c>
      <c r="B49" s="134" t="s">
        <v>152</v>
      </c>
      <c r="C49" s="134" t="s">
        <v>14</v>
      </c>
      <c r="D49" s="134" t="s">
        <v>159</v>
      </c>
      <c r="E49" s="142" t="e">
        <f>(E46/$G$46)*100</f>
        <v>#REF!</v>
      </c>
      <c r="F49" s="142" t="e">
        <f aca="true" t="shared" si="11" ref="F49:Q49">(F46/$G$46)*100</f>
        <v>#REF!</v>
      </c>
      <c r="G49" s="142" t="e">
        <f t="shared" si="11"/>
        <v>#REF!</v>
      </c>
      <c r="H49" s="142" t="e">
        <f t="shared" si="11"/>
        <v>#REF!</v>
      </c>
      <c r="I49" s="142" t="e">
        <f t="shared" si="11"/>
        <v>#REF!</v>
      </c>
      <c r="J49" s="142" t="e">
        <f t="shared" si="11"/>
        <v>#REF!</v>
      </c>
      <c r="K49" s="142" t="e">
        <f t="shared" si="11"/>
        <v>#REF!</v>
      </c>
      <c r="L49" s="142" t="e">
        <f t="shared" si="11"/>
        <v>#REF!</v>
      </c>
      <c r="M49" s="142" t="e">
        <f t="shared" si="11"/>
        <v>#REF!</v>
      </c>
      <c r="N49" s="142" t="e">
        <f t="shared" si="11"/>
        <v>#REF!</v>
      </c>
      <c r="O49" s="142" t="e">
        <f t="shared" si="11"/>
        <v>#REF!</v>
      </c>
      <c r="P49" s="142" t="e">
        <f t="shared" si="11"/>
        <v>#REF!</v>
      </c>
      <c r="Q49" s="142" t="e">
        <f t="shared" si="11"/>
        <v>#REF!</v>
      </c>
      <c r="R49" s="134"/>
      <c r="S49" s="134" t="s">
        <v>97</v>
      </c>
    </row>
    <row r="50" spans="1:19" ht="90" customHeight="1" thickBot="1">
      <c r="A50" s="138" t="s">
        <v>160</v>
      </c>
      <c r="B50" s="134" t="s">
        <v>161</v>
      </c>
      <c r="C50" s="134" t="s">
        <v>14</v>
      </c>
      <c r="D50" s="134" t="s">
        <v>162</v>
      </c>
      <c r="E50" s="134" t="e">
        <f>(#REF!/#REF!)*100</f>
        <v>#REF!</v>
      </c>
      <c r="F50" s="134" t="e">
        <f>(#REF!/#REF!)*100</f>
        <v>#REF!</v>
      </c>
      <c r="G50" s="134" t="e">
        <f>(#REF!/#REF!)*100</f>
        <v>#REF!</v>
      </c>
      <c r="H50" s="134" t="e">
        <f>(#REF!/#REF!)*100</f>
        <v>#REF!</v>
      </c>
      <c r="I50" s="134" t="e">
        <f>(#REF!/#REF!)*100</f>
        <v>#REF!</v>
      </c>
      <c r="J50" s="134" t="e">
        <f>(#REF!/#REF!)*100</f>
        <v>#REF!</v>
      </c>
      <c r="K50" s="134" t="e">
        <f>(#REF!/#REF!)*100</f>
        <v>#REF!</v>
      </c>
      <c r="L50" s="134" t="e">
        <f>(#REF!/#REF!)*100</f>
        <v>#REF!</v>
      </c>
      <c r="M50" s="134" t="e">
        <f>(#REF!/#REF!)*100</f>
        <v>#REF!</v>
      </c>
      <c r="N50" s="134" t="e">
        <f>(#REF!/#REF!)*100</f>
        <v>#REF!</v>
      </c>
      <c r="O50" s="134" t="e">
        <f>(#REF!/#REF!)*100</f>
        <v>#REF!</v>
      </c>
      <c r="P50" s="134" t="e">
        <f>(#REF!/#REF!)*100</f>
        <v>#REF!</v>
      </c>
      <c r="Q50" s="134" t="e">
        <f>(#REF!/#REF!)*100</f>
        <v>#REF!</v>
      </c>
      <c r="R50" s="134"/>
      <c r="S50" s="134"/>
    </row>
    <row r="51" spans="1:19" ht="99" customHeight="1" thickBot="1">
      <c r="A51" s="138" t="s">
        <v>163</v>
      </c>
      <c r="B51" s="134" t="s">
        <v>165</v>
      </c>
      <c r="C51" s="134" t="s">
        <v>14</v>
      </c>
      <c r="D51" s="134" t="s">
        <v>166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/>
      <c r="S51" s="134" t="s">
        <v>97</v>
      </c>
    </row>
    <row r="52" spans="1:19" ht="111" customHeight="1" thickBot="1">
      <c r="A52" s="138" t="s">
        <v>167</v>
      </c>
      <c r="B52" s="134" t="s">
        <v>168</v>
      </c>
      <c r="C52" s="134" t="s">
        <v>14</v>
      </c>
      <c r="D52" s="134" t="s">
        <v>170</v>
      </c>
      <c r="E52" s="142" t="e">
        <f>(#REF!/#REF!)*100</f>
        <v>#REF!</v>
      </c>
      <c r="F52" s="142" t="e">
        <f>(#REF!/#REF!)*100</f>
        <v>#REF!</v>
      </c>
      <c r="G52" s="142" t="e">
        <f>(#REF!/#REF!)*100</f>
        <v>#REF!</v>
      </c>
      <c r="H52" s="142" t="e">
        <f>(#REF!/#REF!)*100</f>
        <v>#REF!</v>
      </c>
      <c r="I52" s="142" t="e">
        <f>(#REF!/#REF!)*100</f>
        <v>#REF!</v>
      </c>
      <c r="J52" s="142" t="e">
        <f>(#REF!/#REF!)*100</f>
        <v>#REF!</v>
      </c>
      <c r="K52" s="142" t="e">
        <f>(#REF!/#REF!)*100</f>
        <v>#REF!</v>
      </c>
      <c r="L52" s="142" t="e">
        <f>(#REF!/#REF!)*100</f>
        <v>#REF!</v>
      </c>
      <c r="M52" s="142" t="e">
        <f>(#REF!/#REF!)*100</f>
        <v>#REF!</v>
      </c>
      <c r="N52" s="142" t="e">
        <f>(#REF!/#REF!)*100</f>
        <v>#REF!</v>
      </c>
      <c r="O52" s="142" t="e">
        <f>(#REF!/#REF!)*100</f>
        <v>#REF!</v>
      </c>
      <c r="P52" s="142" t="e">
        <f>(#REF!/#REF!)*100</f>
        <v>#REF!</v>
      </c>
      <c r="Q52" s="142" t="e">
        <f>(#REF!/#REF!)*100</f>
        <v>#REF!</v>
      </c>
      <c r="R52" s="134"/>
      <c r="S52" s="134"/>
    </row>
    <row r="53" spans="1:19" ht="70.5" customHeight="1" thickBot="1">
      <c r="A53" s="138" t="s">
        <v>171</v>
      </c>
      <c r="B53" s="134" t="s">
        <v>172</v>
      </c>
      <c r="C53" s="134" t="s">
        <v>516</v>
      </c>
      <c r="D53" s="134" t="s">
        <v>173</v>
      </c>
      <c r="E53" s="134" t="e">
        <f>#REF!</f>
        <v>#REF!</v>
      </c>
      <c r="F53" s="134" t="e">
        <f>#REF!</f>
        <v>#REF!</v>
      </c>
      <c r="G53" s="134" t="e">
        <f>#REF!</f>
        <v>#REF!</v>
      </c>
      <c r="H53" s="134" t="e">
        <f>#REF!</f>
        <v>#REF!</v>
      </c>
      <c r="I53" s="134" t="e">
        <f>#REF!</f>
        <v>#REF!</v>
      </c>
      <c r="J53" s="134" t="e">
        <f>#REF!</f>
        <v>#REF!</v>
      </c>
      <c r="K53" s="134" t="e">
        <f>#REF!</f>
        <v>#REF!</v>
      </c>
      <c r="L53" s="134" t="e">
        <f>#REF!</f>
        <v>#REF!</v>
      </c>
      <c r="M53" s="134" t="e">
        <f>#REF!</f>
        <v>#REF!</v>
      </c>
      <c r="N53" s="134" t="e">
        <f>#REF!</f>
        <v>#REF!</v>
      </c>
      <c r="O53" s="134" t="e">
        <f>#REF!</f>
        <v>#REF!</v>
      </c>
      <c r="P53" s="134" t="e">
        <f>#REF!</f>
        <v>#REF!</v>
      </c>
      <c r="Q53" s="134" t="e">
        <f>#REF!</f>
        <v>#REF!</v>
      </c>
      <c r="R53" s="134"/>
      <c r="S53" s="134"/>
    </row>
    <row r="54" spans="1:19" ht="135.75" customHeight="1" thickBot="1">
      <c r="A54" s="138" t="s">
        <v>174</v>
      </c>
      <c r="B54" s="134" t="s">
        <v>175</v>
      </c>
      <c r="C54" s="134" t="s">
        <v>14</v>
      </c>
      <c r="D54" s="134" t="s">
        <v>176</v>
      </c>
      <c r="E54" s="134" t="e">
        <f>(#REF!/#REF!)*100</f>
        <v>#REF!</v>
      </c>
      <c r="F54" s="134" t="e">
        <f>(#REF!/#REF!)*100</f>
        <v>#REF!</v>
      </c>
      <c r="G54" s="134" t="e">
        <f>(#REF!/#REF!)*100</f>
        <v>#REF!</v>
      </c>
      <c r="H54" s="134" t="e">
        <f>(#REF!/#REF!)*100</f>
        <v>#REF!</v>
      </c>
      <c r="I54" s="134" t="e">
        <f>(#REF!/#REF!)*100</f>
        <v>#REF!</v>
      </c>
      <c r="J54" s="141" t="e">
        <f>(#REF!/#REF!)*100</f>
        <v>#REF!</v>
      </c>
      <c r="K54" s="141" t="e">
        <f>(#REF!/#REF!)*100</f>
        <v>#REF!</v>
      </c>
      <c r="L54" s="141" t="e">
        <f>(#REF!/#REF!)*100</f>
        <v>#REF!</v>
      </c>
      <c r="M54" s="141" t="e">
        <f>(#REF!/#REF!)*100</f>
        <v>#REF!</v>
      </c>
      <c r="N54" s="141" t="e">
        <f>(#REF!/#REF!)*100</f>
        <v>#REF!</v>
      </c>
      <c r="O54" s="141" t="e">
        <f>(#REF!/#REF!)*100</f>
        <v>#REF!</v>
      </c>
      <c r="P54" s="141" t="e">
        <f>(#REF!/#REF!)*100</f>
        <v>#REF!</v>
      </c>
      <c r="Q54" s="141" t="e">
        <f>(#REF!/#REF!)*100</f>
        <v>#REF!</v>
      </c>
      <c r="R54" s="141"/>
      <c r="S54" s="141"/>
    </row>
    <row r="55" spans="1:19" ht="163.5" customHeight="1" thickBot="1">
      <c r="A55" s="138" t="s">
        <v>177</v>
      </c>
      <c r="B55" s="196" t="s">
        <v>178</v>
      </c>
      <c r="C55" s="134" t="s">
        <v>14</v>
      </c>
      <c r="D55" s="134" t="s">
        <v>179</v>
      </c>
      <c r="E55" s="142" t="e">
        <f>(#REF!/#REF!)*100</f>
        <v>#REF!</v>
      </c>
      <c r="F55" s="142" t="e">
        <f>(#REF!/#REF!)*100</f>
        <v>#REF!</v>
      </c>
      <c r="G55" s="142" t="e">
        <f>(#REF!/#REF!)*100</f>
        <v>#REF!</v>
      </c>
      <c r="H55" s="142" t="e">
        <f>(#REF!/#REF!)*100</f>
        <v>#REF!</v>
      </c>
      <c r="I55" s="142" t="e">
        <f>(#REF!/#REF!)*100</f>
        <v>#REF!</v>
      </c>
      <c r="J55" s="142" t="e">
        <f>(#REF!/#REF!)*100</f>
        <v>#REF!</v>
      </c>
      <c r="K55" s="142" t="e">
        <f>(#REF!/#REF!)*100</f>
        <v>#REF!</v>
      </c>
      <c r="L55" s="142" t="e">
        <f>(#REF!/#REF!)*100</f>
        <v>#REF!</v>
      </c>
      <c r="M55" s="149" t="e">
        <f>(#REF!/#REF!)*100</f>
        <v>#REF!</v>
      </c>
      <c r="N55" s="149" t="e">
        <f>(#REF!/#REF!)*100</f>
        <v>#REF!</v>
      </c>
      <c r="O55" s="149" t="e">
        <f>(#REF!/#REF!)*100</f>
        <v>#REF!</v>
      </c>
      <c r="P55" s="149" t="e">
        <f>(#REF!/#REF!)*100</f>
        <v>#REF!</v>
      </c>
      <c r="Q55" s="149" t="e">
        <f>(#REF!/#REF!)*100</f>
        <v>#REF!</v>
      </c>
      <c r="R55" s="134"/>
      <c r="S55" s="134"/>
    </row>
    <row r="56" spans="1:19" ht="122.25" customHeight="1" thickBot="1">
      <c r="A56" s="138" t="s">
        <v>180</v>
      </c>
      <c r="B56" s="134" t="s">
        <v>181</v>
      </c>
      <c r="C56" s="134" t="s">
        <v>182</v>
      </c>
      <c r="D56" s="134" t="s">
        <v>183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34"/>
      <c r="S56" s="134"/>
    </row>
    <row r="57" spans="1:19" ht="31.5" customHeight="1" thickBot="1">
      <c r="A57" s="668" t="s">
        <v>184</v>
      </c>
      <c r="B57" s="669"/>
      <c r="C57" s="669"/>
      <c r="D57" s="669"/>
      <c r="E57" s="669"/>
      <c r="F57" s="669"/>
      <c r="G57" s="669"/>
      <c r="H57" s="669"/>
      <c r="I57" s="669"/>
      <c r="J57" s="669"/>
      <c r="K57" s="669"/>
      <c r="L57" s="669"/>
      <c r="M57" s="669"/>
      <c r="N57" s="669"/>
      <c r="O57" s="669"/>
      <c r="P57" s="669"/>
      <c r="Q57" s="669"/>
      <c r="R57" s="669"/>
      <c r="S57" s="670"/>
    </row>
    <row r="58" spans="1:19" ht="177" customHeight="1" thickBot="1">
      <c r="A58" s="138" t="s">
        <v>185</v>
      </c>
      <c r="B58" s="134" t="s">
        <v>187</v>
      </c>
      <c r="C58" s="134" t="s">
        <v>14</v>
      </c>
      <c r="D58" s="134" t="s">
        <v>188</v>
      </c>
      <c r="E58" s="155" t="e">
        <f>(#REF!/#REF!)*100</f>
        <v>#REF!</v>
      </c>
      <c r="F58" s="155" t="e">
        <f>(#REF!/#REF!)*100</f>
        <v>#REF!</v>
      </c>
      <c r="G58" s="155" t="e">
        <f>(#REF!/#REF!)*100</f>
        <v>#REF!</v>
      </c>
      <c r="H58" s="155" t="e">
        <f>(#REF!/#REF!)*100</f>
        <v>#REF!</v>
      </c>
      <c r="I58" s="155" t="e">
        <f>(#REF!/#REF!)*100</f>
        <v>#REF!</v>
      </c>
      <c r="J58" s="155" t="e">
        <f>(#REF!/#REF!)*100</f>
        <v>#REF!</v>
      </c>
      <c r="K58" s="155" t="e">
        <f>(#REF!/#REF!)*100</f>
        <v>#REF!</v>
      </c>
      <c r="L58" s="155" t="e">
        <f>(#REF!/#REF!)*100</f>
        <v>#REF!</v>
      </c>
      <c r="M58" s="155" t="e">
        <f>(#REF!/#REF!)*100</f>
        <v>#REF!</v>
      </c>
      <c r="N58" s="155" t="e">
        <f>(#REF!/#REF!)*100</f>
        <v>#REF!</v>
      </c>
      <c r="O58" s="155" t="e">
        <f>(#REF!/#REF!)*100</f>
        <v>#REF!</v>
      </c>
      <c r="P58" s="155" t="e">
        <f>(#REF!/#REF!)*100</f>
        <v>#REF!</v>
      </c>
      <c r="Q58" s="155" t="e">
        <f>(#REF!/#REF!)*100</f>
        <v>#REF!</v>
      </c>
      <c r="R58" s="148"/>
      <c r="S58" s="134"/>
    </row>
    <row r="59" spans="1:19" ht="170.25" customHeight="1" thickBot="1">
      <c r="A59" s="138" t="s">
        <v>189</v>
      </c>
      <c r="B59" s="134" t="s">
        <v>191</v>
      </c>
      <c r="C59" s="134" t="s">
        <v>14</v>
      </c>
      <c r="D59" s="134" t="s">
        <v>192</v>
      </c>
      <c r="E59" s="155" t="e">
        <f>(#REF!/#REF!)*100</f>
        <v>#REF!</v>
      </c>
      <c r="F59" s="155" t="e">
        <f>(#REF!/#REF!)*100</f>
        <v>#REF!</v>
      </c>
      <c r="G59" s="155" t="e">
        <f>(#REF!/#REF!)*100</f>
        <v>#REF!</v>
      </c>
      <c r="H59" s="155" t="e">
        <f>(#REF!/#REF!)*100</f>
        <v>#REF!</v>
      </c>
      <c r="I59" s="155" t="e">
        <f>(#REF!/#REF!)*100</f>
        <v>#REF!</v>
      </c>
      <c r="J59" s="155" t="e">
        <f>(#REF!/#REF!)*100</f>
        <v>#REF!</v>
      </c>
      <c r="K59" s="155" t="e">
        <f>(#REF!/#REF!)*100</f>
        <v>#REF!</v>
      </c>
      <c r="L59" s="155" t="e">
        <f>(#REF!/#REF!)*100</f>
        <v>#REF!</v>
      </c>
      <c r="M59" s="155" t="e">
        <f>(#REF!/#REF!)*100</f>
        <v>#REF!</v>
      </c>
      <c r="N59" s="155" t="e">
        <f>(#REF!/#REF!)*100</f>
        <v>#REF!</v>
      </c>
      <c r="O59" s="155" t="e">
        <f>(#REF!/#REF!)*100</f>
        <v>#REF!</v>
      </c>
      <c r="P59" s="155" t="e">
        <f>(#REF!/#REF!)*100</f>
        <v>#REF!</v>
      </c>
      <c r="Q59" s="155" t="e">
        <f>(#REF!/#REF!)*100</f>
        <v>#REF!</v>
      </c>
      <c r="R59" s="148"/>
      <c r="S59" s="134"/>
    </row>
    <row r="60" spans="1:19" ht="189.75" customHeight="1" thickBot="1">
      <c r="A60" s="138" t="s">
        <v>193</v>
      </c>
      <c r="B60" s="134" t="s">
        <v>194</v>
      </c>
      <c r="C60" s="134" t="s">
        <v>14</v>
      </c>
      <c r="D60" s="134" t="s">
        <v>195</v>
      </c>
      <c r="E60" s="155" t="e">
        <f>(#REF!/#REF!)*100</f>
        <v>#REF!</v>
      </c>
      <c r="F60" s="155" t="e">
        <f>(#REF!/#REF!)*100</f>
        <v>#REF!</v>
      </c>
      <c r="G60" s="155" t="e">
        <f>(#REF!/#REF!)*100</f>
        <v>#REF!</v>
      </c>
      <c r="H60" s="155" t="e">
        <f>(#REF!/#REF!)*100</f>
        <v>#REF!</v>
      </c>
      <c r="I60" s="155" t="e">
        <f>(#REF!/#REF!)*100</f>
        <v>#REF!</v>
      </c>
      <c r="J60" s="155" t="e">
        <f>(#REF!/#REF!)*100</f>
        <v>#REF!</v>
      </c>
      <c r="K60" s="155" t="e">
        <f>(#REF!/#REF!)*100</f>
        <v>#REF!</v>
      </c>
      <c r="L60" s="155" t="e">
        <f>(#REF!/#REF!)*100</f>
        <v>#REF!</v>
      </c>
      <c r="M60" s="155" t="e">
        <f>(#REF!/#REF!)*100</f>
        <v>#REF!</v>
      </c>
      <c r="N60" s="155" t="e">
        <f>(#REF!/#REF!)*100</f>
        <v>#REF!</v>
      </c>
      <c r="O60" s="155" t="e">
        <f>(#REF!/#REF!)*100</f>
        <v>#REF!</v>
      </c>
      <c r="P60" s="155" t="e">
        <f>(#REF!/#REF!)*100</f>
        <v>#REF!</v>
      </c>
      <c r="Q60" s="155" t="e">
        <f>(#REF!/#REF!)*100</f>
        <v>#REF!</v>
      </c>
      <c r="R60" s="148"/>
      <c r="S60" s="134"/>
    </row>
    <row r="61" spans="1:19" ht="157.5" customHeight="1" thickBot="1">
      <c r="A61" s="138" t="s">
        <v>196</v>
      </c>
      <c r="B61" s="134" t="s">
        <v>197</v>
      </c>
      <c r="C61" s="134" t="s">
        <v>14</v>
      </c>
      <c r="D61" s="134" t="s">
        <v>198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48"/>
      <c r="S61" s="134"/>
    </row>
    <row r="62" spans="1:19" ht="160.5" customHeight="1" thickBot="1">
      <c r="A62" s="138" t="s">
        <v>199</v>
      </c>
      <c r="B62" s="134" t="s">
        <v>200</v>
      </c>
      <c r="C62" s="134" t="s">
        <v>14</v>
      </c>
      <c r="D62" s="134" t="s">
        <v>201</v>
      </c>
      <c r="E62" s="155" t="e">
        <f>(#REF!/#REF!)*100</f>
        <v>#REF!</v>
      </c>
      <c r="F62" s="155" t="e">
        <f>(#REF!/#REF!)*100</f>
        <v>#REF!</v>
      </c>
      <c r="G62" s="155" t="e">
        <f>(#REF!/#REF!)*100</f>
        <v>#REF!</v>
      </c>
      <c r="H62" s="155" t="e">
        <f>(#REF!/#REF!)*100</f>
        <v>#REF!</v>
      </c>
      <c r="I62" s="155" t="e">
        <f>(#REF!/#REF!)*100</f>
        <v>#REF!</v>
      </c>
      <c r="J62" s="155" t="e">
        <f>(#REF!/#REF!)*100</f>
        <v>#REF!</v>
      </c>
      <c r="K62" s="155" t="e">
        <f>(#REF!/#REF!)*100</f>
        <v>#REF!</v>
      </c>
      <c r="L62" s="155" t="e">
        <f>(#REF!/#REF!)*100</f>
        <v>#REF!</v>
      </c>
      <c r="M62" s="155" t="e">
        <f>(#REF!/#REF!)*100</f>
        <v>#REF!</v>
      </c>
      <c r="N62" s="155" t="e">
        <f>(#REF!/#REF!)*100</f>
        <v>#REF!</v>
      </c>
      <c r="O62" s="155" t="e">
        <f>(#REF!/#REF!)*100</f>
        <v>#REF!</v>
      </c>
      <c r="P62" s="155" t="e">
        <f>(#REF!/#REF!)*100</f>
        <v>#REF!</v>
      </c>
      <c r="Q62" s="155" t="e">
        <f>(#REF!/#REF!)*100</f>
        <v>#REF!</v>
      </c>
      <c r="R62" s="148"/>
      <c r="S62" s="134"/>
    </row>
    <row r="63" spans="1:19" ht="192.75" customHeight="1" thickBot="1">
      <c r="A63" s="138" t="s">
        <v>202</v>
      </c>
      <c r="B63" s="134" t="s">
        <v>203</v>
      </c>
      <c r="C63" s="134" t="s">
        <v>14</v>
      </c>
      <c r="D63" s="134" t="s">
        <v>204</v>
      </c>
      <c r="E63" s="155" t="e">
        <f>(#REF!/#REF!)*100</f>
        <v>#REF!</v>
      </c>
      <c r="F63" s="155" t="e">
        <f>(#REF!/#REF!)*100</f>
        <v>#REF!</v>
      </c>
      <c r="G63" s="155" t="e">
        <f>(#REF!/#REF!)*100</f>
        <v>#REF!</v>
      </c>
      <c r="H63" s="155" t="e">
        <f>(#REF!/#REF!)*100</f>
        <v>#REF!</v>
      </c>
      <c r="I63" s="155" t="e">
        <f>(#REF!/#REF!)*100</f>
        <v>#REF!</v>
      </c>
      <c r="J63" s="155" t="e">
        <f>(#REF!/#REF!)*100</f>
        <v>#REF!</v>
      </c>
      <c r="K63" s="155" t="e">
        <f>(#REF!/#REF!)*100</f>
        <v>#REF!</v>
      </c>
      <c r="L63" s="155" t="e">
        <f>(#REF!/#REF!)*100</f>
        <v>#REF!</v>
      </c>
      <c r="M63" s="155" t="e">
        <f>(#REF!/#REF!)*100</f>
        <v>#REF!</v>
      </c>
      <c r="N63" s="155" t="e">
        <f>(#REF!/#REF!)*100</f>
        <v>#REF!</v>
      </c>
      <c r="O63" s="155" t="e">
        <f>(#REF!/#REF!)*100</f>
        <v>#REF!</v>
      </c>
      <c r="P63" s="155" t="e">
        <f>(#REF!/#REF!)*100</f>
        <v>#REF!</v>
      </c>
      <c r="Q63" s="155" t="e">
        <f>(#REF!/#REF!)*100</f>
        <v>#REF!</v>
      </c>
      <c r="R63" s="148"/>
      <c r="S63" s="134"/>
    </row>
    <row r="64" spans="1:19" ht="191.25" customHeight="1" thickBot="1">
      <c r="A64" s="138" t="s">
        <v>205</v>
      </c>
      <c r="B64" s="134" t="s">
        <v>206</v>
      </c>
      <c r="C64" s="134" t="s">
        <v>14</v>
      </c>
      <c r="D64" s="134" t="s">
        <v>207</v>
      </c>
      <c r="E64" s="155" t="e">
        <f>(#REF!/#REF!)*100</f>
        <v>#REF!</v>
      </c>
      <c r="F64" s="155" t="e">
        <f>(#REF!/#REF!)*100</f>
        <v>#REF!</v>
      </c>
      <c r="G64" s="155" t="e">
        <f>(#REF!/#REF!)*100</f>
        <v>#REF!</v>
      </c>
      <c r="H64" s="155" t="e">
        <f>(#REF!/#REF!)*100</f>
        <v>#REF!</v>
      </c>
      <c r="I64" s="155" t="e">
        <f>(#REF!/#REF!)*100</f>
        <v>#REF!</v>
      </c>
      <c r="J64" s="155" t="e">
        <f>(#REF!/#REF!)*100</f>
        <v>#REF!</v>
      </c>
      <c r="K64" s="155" t="e">
        <f>(#REF!/#REF!)*100</f>
        <v>#REF!</v>
      </c>
      <c r="L64" s="155" t="e">
        <f>(#REF!/#REF!)*100</f>
        <v>#REF!</v>
      </c>
      <c r="M64" s="155" t="e">
        <f>(#REF!/#REF!)*100</f>
        <v>#REF!</v>
      </c>
      <c r="N64" s="155" t="e">
        <f>(#REF!/#REF!)*100</f>
        <v>#REF!</v>
      </c>
      <c r="O64" s="155" t="e">
        <f>(#REF!/#REF!)*100</f>
        <v>#REF!</v>
      </c>
      <c r="P64" s="155" t="e">
        <f>(#REF!/#REF!)*100</f>
        <v>#REF!</v>
      </c>
      <c r="Q64" s="155" t="e">
        <f>(#REF!/#REF!)*100</f>
        <v>#REF!</v>
      </c>
      <c r="R64" s="148"/>
      <c r="S64" s="134"/>
    </row>
    <row r="65" spans="1:19" ht="213.75" customHeight="1" thickBot="1">
      <c r="A65" s="138" t="s">
        <v>208</v>
      </c>
      <c r="B65" s="134" t="s">
        <v>209</v>
      </c>
      <c r="C65" s="134" t="s">
        <v>14</v>
      </c>
      <c r="D65" s="134" t="s">
        <v>210</v>
      </c>
      <c r="E65" s="155" t="e">
        <f>(#REF!/#REF!)*100</f>
        <v>#REF!</v>
      </c>
      <c r="F65" s="155" t="e">
        <f>(#REF!/#REF!)*100</f>
        <v>#REF!</v>
      </c>
      <c r="G65" s="155" t="e">
        <f>(#REF!/#REF!)*100</f>
        <v>#REF!</v>
      </c>
      <c r="H65" s="155" t="e">
        <f>(#REF!/#REF!)*100</f>
        <v>#REF!</v>
      </c>
      <c r="I65" s="155" t="e">
        <f>(#REF!/#REF!)*100</f>
        <v>#REF!</v>
      </c>
      <c r="J65" s="155" t="e">
        <f>(#REF!/#REF!)*100</f>
        <v>#REF!</v>
      </c>
      <c r="K65" s="155" t="e">
        <f>(#REF!/#REF!)*100</f>
        <v>#REF!</v>
      </c>
      <c r="L65" s="155" t="e">
        <f>(#REF!/#REF!)*100</f>
        <v>#REF!</v>
      </c>
      <c r="M65" s="155" t="e">
        <f>(#REF!/#REF!)*100</f>
        <v>#REF!</v>
      </c>
      <c r="N65" s="155" t="e">
        <f>(#REF!/#REF!)*100</f>
        <v>#REF!</v>
      </c>
      <c r="O65" s="155" t="e">
        <f>(#REF!/#REF!)*100</f>
        <v>#REF!</v>
      </c>
      <c r="P65" s="155" t="e">
        <f>(#REF!/#REF!)*100</f>
        <v>#REF!</v>
      </c>
      <c r="Q65" s="155" t="e">
        <f>(#REF!/#REF!)*100</f>
        <v>#REF!</v>
      </c>
      <c r="R65" s="148"/>
      <c r="S65" s="134"/>
    </row>
    <row r="66" spans="1:19" ht="226.5" customHeight="1" thickBot="1">
      <c r="A66" s="138" t="s">
        <v>211</v>
      </c>
      <c r="B66" s="134" t="s">
        <v>212</v>
      </c>
      <c r="C66" s="134" t="s">
        <v>14</v>
      </c>
      <c r="D66" s="134" t="s">
        <v>213</v>
      </c>
      <c r="E66" s="155" t="e">
        <f>(#REF!/#REF!)*100</f>
        <v>#REF!</v>
      </c>
      <c r="F66" s="155" t="e">
        <f>(#REF!/#REF!)*100</f>
        <v>#REF!</v>
      </c>
      <c r="G66" s="155" t="e">
        <f>(#REF!/#REF!)*100</f>
        <v>#REF!</v>
      </c>
      <c r="H66" s="155" t="e">
        <f>(#REF!/#REF!)*100</f>
        <v>#REF!</v>
      </c>
      <c r="I66" s="155" t="e">
        <f>(#REF!/#REF!)*100</f>
        <v>#REF!</v>
      </c>
      <c r="J66" s="155" t="e">
        <f>(#REF!/#REF!)*100</f>
        <v>#REF!</v>
      </c>
      <c r="K66" s="154" t="e">
        <f>(#REF!/#REF!)*100</f>
        <v>#REF!</v>
      </c>
      <c r="L66" s="155" t="e">
        <f>(#REF!/#REF!)*100</f>
        <v>#REF!</v>
      </c>
      <c r="M66" s="155" t="e">
        <f>(#REF!/#REF!)*100</f>
        <v>#REF!</v>
      </c>
      <c r="N66" s="155" t="e">
        <f>(#REF!/#REF!)*100</f>
        <v>#REF!</v>
      </c>
      <c r="O66" s="155" t="e">
        <f>(#REF!/#REF!)*100</f>
        <v>#REF!</v>
      </c>
      <c r="P66" s="155" t="e">
        <f>(#REF!/#REF!)*100</f>
        <v>#REF!</v>
      </c>
      <c r="Q66" s="155" t="e">
        <f>(#REF!/#REF!)*100</f>
        <v>#REF!</v>
      </c>
      <c r="R66" s="148"/>
      <c r="S66" s="151"/>
    </row>
    <row r="67" spans="1:19" ht="236.25" customHeight="1" thickBot="1">
      <c r="A67" s="138" t="s">
        <v>214</v>
      </c>
      <c r="B67" s="134" t="s">
        <v>218</v>
      </c>
      <c r="C67" s="134" t="s">
        <v>14</v>
      </c>
      <c r="D67" s="134" t="s">
        <v>219</v>
      </c>
      <c r="E67" s="155" t="e">
        <f>(#REF!/#REF!)*100</f>
        <v>#REF!</v>
      </c>
      <c r="F67" s="155" t="e">
        <f>(#REF!/#REF!)*100</f>
        <v>#REF!</v>
      </c>
      <c r="G67" s="155" t="e">
        <f>(#REF!/#REF!)*100</f>
        <v>#REF!</v>
      </c>
      <c r="H67" s="155" t="e">
        <f>(#REF!/#REF!)*100</f>
        <v>#REF!</v>
      </c>
      <c r="I67" s="155" t="e">
        <f>(#REF!/#REF!)*100</f>
        <v>#REF!</v>
      </c>
      <c r="J67" s="155" t="e">
        <f>(#REF!/#REF!)*100</f>
        <v>#REF!</v>
      </c>
      <c r="K67" s="155" t="e">
        <f>(#REF!/#REF!)*100</f>
        <v>#REF!</v>
      </c>
      <c r="L67" s="155" t="e">
        <f>(#REF!/#REF!)*100</f>
        <v>#REF!</v>
      </c>
      <c r="M67" s="155" t="e">
        <f>(#REF!/#REF!)*100</f>
        <v>#REF!</v>
      </c>
      <c r="N67" s="155" t="e">
        <f>(#REF!/#REF!)*100</f>
        <v>#REF!</v>
      </c>
      <c r="O67" s="155" t="e">
        <f>(#REF!/#REF!)*100</f>
        <v>#REF!</v>
      </c>
      <c r="P67" s="155" t="e">
        <f>(#REF!/#REF!)*100</f>
        <v>#REF!</v>
      </c>
      <c r="Q67" s="155" t="e">
        <f>(#REF!/#REF!)*100</f>
        <v>#REF!</v>
      </c>
      <c r="R67" s="148"/>
      <c r="S67" s="152"/>
    </row>
    <row r="68" spans="1:19" ht="51" customHeight="1" thickBot="1">
      <c r="A68" s="198" t="s">
        <v>220</v>
      </c>
      <c r="B68" s="134" t="s">
        <v>221</v>
      </c>
      <c r="C68" s="134" t="s">
        <v>516</v>
      </c>
      <c r="D68" s="134" t="s">
        <v>222</v>
      </c>
      <c r="E68" s="184" t="e">
        <f>#REF!</f>
        <v>#REF!</v>
      </c>
      <c r="F68" s="184" t="e">
        <f>#REF!</f>
        <v>#REF!</v>
      </c>
      <c r="G68" s="184" t="e">
        <f>#REF!</f>
        <v>#REF!</v>
      </c>
      <c r="H68" s="184" t="e">
        <f>#REF!</f>
        <v>#REF!</v>
      </c>
      <c r="I68" s="184" t="e">
        <f>#REF!</f>
        <v>#REF!</v>
      </c>
      <c r="J68" s="184" t="e">
        <f>#REF!</f>
        <v>#REF!</v>
      </c>
      <c r="K68" s="184" t="e">
        <f>#REF!</f>
        <v>#REF!</v>
      </c>
      <c r="L68" s="184" t="e">
        <f>#REF!</f>
        <v>#REF!</v>
      </c>
      <c r="M68" s="184" t="e">
        <f>#REF!</f>
        <v>#REF!</v>
      </c>
      <c r="N68" s="184" t="e">
        <f>#REF!</f>
        <v>#REF!</v>
      </c>
      <c r="O68" s="184" t="e">
        <f>#REF!</f>
        <v>#REF!</v>
      </c>
      <c r="P68" s="184" t="e">
        <f>#REF!</f>
        <v>#REF!</v>
      </c>
      <c r="Q68" s="184" t="e">
        <f>#REF!</f>
        <v>#REF!</v>
      </c>
      <c r="R68" s="148"/>
      <c r="S68" s="134"/>
    </row>
    <row r="69" spans="1:19" ht="75" customHeight="1" thickBot="1">
      <c r="A69" s="138" t="s">
        <v>223</v>
      </c>
      <c r="B69" s="134" t="s">
        <v>224</v>
      </c>
      <c r="C69" s="134" t="s">
        <v>14</v>
      </c>
      <c r="D69" s="134" t="s">
        <v>225</v>
      </c>
      <c r="E69" s="155" t="e">
        <f>(#REF!/#REF!)*100</f>
        <v>#REF!</v>
      </c>
      <c r="F69" s="155" t="e">
        <f>(#REF!/#REF!)*100</f>
        <v>#REF!</v>
      </c>
      <c r="G69" s="155" t="e">
        <f>(#REF!/#REF!)*100</f>
        <v>#REF!</v>
      </c>
      <c r="H69" s="155" t="e">
        <f>(#REF!/#REF!)*100</f>
        <v>#REF!</v>
      </c>
      <c r="I69" s="155" t="e">
        <f>(#REF!/#REF!)*100</f>
        <v>#REF!</v>
      </c>
      <c r="J69" s="155" t="e">
        <f>(#REF!/#REF!)*100</f>
        <v>#REF!</v>
      </c>
      <c r="K69" s="155" t="e">
        <f>(#REF!/#REF!)*100</f>
        <v>#REF!</v>
      </c>
      <c r="L69" s="155" t="e">
        <f>(#REF!/#REF!)*100</f>
        <v>#REF!</v>
      </c>
      <c r="M69" s="155" t="e">
        <f>(#REF!/#REF!)*100</f>
        <v>#REF!</v>
      </c>
      <c r="N69" s="155" t="e">
        <f>(#REF!/#REF!)*100</f>
        <v>#REF!</v>
      </c>
      <c r="O69" s="155" t="e">
        <f>(#REF!/#REF!)*100</f>
        <v>#REF!</v>
      </c>
      <c r="P69" s="155" t="e">
        <f>(#REF!/#REF!)*100</f>
        <v>#REF!</v>
      </c>
      <c r="Q69" s="155" t="e">
        <f>(#REF!/#REF!)*100</f>
        <v>#REF!</v>
      </c>
      <c r="R69" s="134"/>
      <c r="S69" s="134"/>
    </row>
    <row r="70" spans="1:19" ht="172.5" customHeight="1" thickBot="1">
      <c r="A70" s="138" t="s">
        <v>226</v>
      </c>
      <c r="B70" s="134" t="s">
        <v>228</v>
      </c>
      <c r="C70" s="134" t="s">
        <v>91</v>
      </c>
      <c r="D70" s="134" t="s">
        <v>229</v>
      </c>
      <c r="E70" s="194" t="e">
        <f>(#REF!+#REF!)/#REF!</f>
        <v>#REF!</v>
      </c>
      <c r="F70" s="194" t="e">
        <f>(#REF!+#REF!)/#REF!</f>
        <v>#REF!</v>
      </c>
      <c r="G70" s="194" t="e">
        <f>(#REF!+#REF!)/#REF!</f>
        <v>#REF!</v>
      </c>
      <c r="H70" s="194" t="e">
        <f>(#REF!+#REF!)/#REF!</f>
        <v>#REF!</v>
      </c>
      <c r="I70" s="194" t="e">
        <f>(#REF!+#REF!)/#REF!</f>
        <v>#REF!</v>
      </c>
      <c r="J70" s="150" t="e">
        <f>(#REF!+#REF!)/#REF!</f>
        <v>#REF!</v>
      </c>
      <c r="K70" s="150" t="e">
        <f>(#REF!+#REF!)/#REF!</f>
        <v>#REF!</v>
      </c>
      <c r="L70" s="150" t="e">
        <f>(#REF!+#REF!)/#REF!</f>
        <v>#REF!</v>
      </c>
      <c r="M70" s="150" t="e">
        <f>(#REF!+#REF!)/#REF!</f>
        <v>#REF!</v>
      </c>
      <c r="N70" s="150" t="e">
        <f>(#REF!+#REF!)/#REF!</f>
        <v>#REF!</v>
      </c>
      <c r="O70" s="150" t="e">
        <f>(#REF!+#REF!)/#REF!</f>
        <v>#REF!</v>
      </c>
      <c r="P70" s="150" t="e">
        <f>(#REF!+#REF!)/#REF!</f>
        <v>#REF!</v>
      </c>
      <c r="Q70" s="150" t="e">
        <f>(#REF!+#REF!)/#REF!</f>
        <v>#REF!</v>
      </c>
      <c r="R70" s="134"/>
      <c r="S70" s="134"/>
    </row>
    <row r="71" spans="1:19" ht="129" customHeight="1" thickBot="1">
      <c r="A71" s="138" t="s">
        <v>230</v>
      </c>
      <c r="B71" s="144" t="s">
        <v>231</v>
      </c>
      <c r="C71" s="134" t="s">
        <v>91</v>
      </c>
      <c r="D71" s="144" t="s">
        <v>232</v>
      </c>
      <c r="E71" s="194" t="e">
        <f>((#REF!-#REF!)+(#REF!-#REF!))/#REF!</f>
        <v>#REF!</v>
      </c>
      <c r="F71" s="194" t="e">
        <f>((#REF!-#REF!)+(#REF!-#REF!))/#REF!</f>
        <v>#REF!</v>
      </c>
      <c r="G71" s="194" t="e">
        <f>((#REF!-#REF!)+(#REF!-#REF!))/#REF!</f>
        <v>#REF!</v>
      </c>
      <c r="H71" s="194" t="e">
        <f>((#REF!-#REF!)+(#REF!-#REF!))/#REF!</f>
        <v>#REF!</v>
      </c>
      <c r="I71" s="194" t="e">
        <f>((#REF!-#REF!)+(#REF!-#REF!))/#REF!</f>
        <v>#REF!</v>
      </c>
      <c r="J71" s="150" t="e">
        <f>((#REF!-#REF!)+(#REF!-#REF!))/#REF!</f>
        <v>#REF!</v>
      </c>
      <c r="K71" s="150" t="e">
        <f>((#REF!-#REF!)+(#REF!-#REF!))/#REF!</f>
        <v>#REF!</v>
      </c>
      <c r="L71" s="150" t="e">
        <f>((#REF!-#REF!)+(#REF!-#REF!))/#REF!</f>
        <v>#REF!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34"/>
      <c r="S71" s="134"/>
    </row>
    <row r="72" spans="1:19" ht="164.25" customHeight="1" thickBot="1">
      <c r="A72" s="138" t="s">
        <v>233</v>
      </c>
      <c r="B72" s="134" t="s">
        <v>234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 t="s">
        <v>150</v>
      </c>
    </row>
    <row r="73" spans="1:19" ht="75.75" thickBot="1">
      <c r="A73" s="138" t="s">
        <v>235</v>
      </c>
      <c r="B73" s="134" t="s">
        <v>148</v>
      </c>
      <c r="C73" s="134" t="s">
        <v>91</v>
      </c>
      <c r="D73" s="134" t="s">
        <v>236</v>
      </c>
      <c r="E73" s="149" t="e">
        <f>F70-E70</f>
        <v>#REF!</v>
      </c>
      <c r="F73" s="149" t="e">
        <f>G70-F70</f>
        <v>#REF!</v>
      </c>
      <c r="G73" s="149" t="e">
        <f>H70-G70</f>
        <v>#REF!</v>
      </c>
      <c r="H73" s="199" t="e">
        <f aca="true" t="shared" si="12" ref="H73:P73">I70-H70</f>
        <v>#REF!</v>
      </c>
      <c r="I73" s="150" t="e">
        <f t="shared" si="12"/>
        <v>#REF!</v>
      </c>
      <c r="J73" s="150" t="e">
        <f t="shared" si="12"/>
        <v>#REF!</v>
      </c>
      <c r="K73" s="150" t="e">
        <f t="shared" si="12"/>
        <v>#REF!</v>
      </c>
      <c r="L73" s="150" t="e">
        <f t="shared" si="12"/>
        <v>#REF!</v>
      </c>
      <c r="M73" s="149" t="e">
        <f t="shared" si="12"/>
        <v>#REF!</v>
      </c>
      <c r="N73" s="149" t="e">
        <f t="shared" si="12"/>
        <v>#REF!</v>
      </c>
      <c r="O73" s="149" t="e">
        <f t="shared" si="12"/>
        <v>#REF!</v>
      </c>
      <c r="P73" s="149" t="e">
        <f t="shared" si="12"/>
        <v>#REF!</v>
      </c>
      <c r="Q73" s="149">
        <v>0</v>
      </c>
      <c r="R73" s="134"/>
      <c r="S73" s="134" t="s">
        <v>150</v>
      </c>
    </row>
    <row r="74" spans="1:19" ht="30.75" thickBot="1">
      <c r="A74" s="138" t="s">
        <v>237</v>
      </c>
      <c r="B74" s="134" t="s">
        <v>152</v>
      </c>
      <c r="C74" s="134" t="s">
        <v>91</v>
      </c>
      <c r="D74" s="134" t="s">
        <v>238</v>
      </c>
      <c r="E74" s="149">
        <v>0</v>
      </c>
      <c r="F74" s="149">
        <v>0</v>
      </c>
      <c r="G74" s="149" t="e">
        <f>G70-$G$70</f>
        <v>#REF!</v>
      </c>
      <c r="H74" s="150" t="e">
        <f aca="true" t="shared" si="13" ref="H74:Q74">H70-$G$70</f>
        <v>#REF!</v>
      </c>
      <c r="I74" s="150" t="e">
        <f t="shared" si="13"/>
        <v>#REF!</v>
      </c>
      <c r="J74" s="150" t="e">
        <f t="shared" si="13"/>
        <v>#REF!</v>
      </c>
      <c r="K74" s="150" t="e">
        <f t="shared" si="13"/>
        <v>#REF!</v>
      </c>
      <c r="L74" s="150" t="e">
        <f t="shared" si="13"/>
        <v>#REF!</v>
      </c>
      <c r="M74" s="150" t="e">
        <f t="shared" si="13"/>
        <v>#REF!</v>
      </c>
      <c r="N74" s="150" t="e">
        <f t="shared" si="13"/>
        <v>#REF!</v>
      </c>
      <c r="O74" s="150" t="e">
        <f t="shared" si="13"/>
        <v>#REF!</v>
      </c>
      <c r="P74" s="150" t="e">
        <f t="shared" si="13"/>
        <v>#REF!</v>
      </c>
      <c r="Q74" s="150" t="e">
        <f t="shared" si="13"/>
        <v>#REF!</v>
      </c>
      <c r="R74" s="134"/>
      <c r="S74" s="134"/>
    </row>
    <row r="75" spans="1:19" ht="127.5" customHeight="1" thickBot="1">
      <c r="A75" s="138" t="s">
        <v>239</v>
      </c>
      <c r="B75" s="134" t="s">
        <v>240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 t="s">
        <v>150</v>
      </c>
    </row>
    <row r="76" spans="1:19" ht="75.75" thickBot="1">
      <c r="A76" s="145" t="s">
        <v>241</v>
      </c>
      <c r="B76" s="134" t="s">
        <v>148</v>
      </c>
      <c r="C76" s="134" t="s">
        <v>91</v>
      </c>
      <c r="D76" s="134" t="s">
        <v>242</v>
      </c>
      <c r="E76" s="149" t="e">
        <f>F71-E71</f>
        <v>#REF!</v>
      </c>
      <c r="F76" s="149" t="e">
        <f aca="true" t="shared" si="14" ref="F76:P76">G71-F71</f>
        <v>#REF!</v>
      </c>
      <c r="G76" s="150" t="e">
        <f t="shared" si="14"/>
        <v>#REF!</v>
      </c>
      <c r="H76" s="199" t="e">
        <f t="shared" si="14"/>
        <v>#REF!</v>
      </c>
      <c r="I76" s="150" t="e">
        <f t="shared" si="14"/>
        <v>#REF!</v>
      </c>
      <c r="J76" s="150" t="e">
        <f t="shared" si="14"/>
        <v>#REF!</v>
      </c>
      <c r="K76" s="150" t="e">
        <f t="shared" si="14"/>
        <v>#REF!</v>
      </c>
      <c r="L76" s="150" t="e">
        <f t="shared" si="14"/>
        <v>#REF!</v>
      </c>
      <c r="M76" s="149">
        <f t="shared" si="14"/>
        <v>0</v>
      </c>
      <c r="N76" s="149">
        <f t="shared" si="14"/>
        <v>0</v>
      </c>
      <c r="O76" s="149">
        <f t="shared" si="14"/>
        <v>0</v>
      </c>
      <c r="P76" s="149">
        <f t="shared" si="14"/>
        <v>0</v>
      </c>
      <c r="Q76" s="149">
        <v>0</v>
      </c>
      <c r="R76" s="134"/>
      <c r="S76" s="134" t="s">
        <v>150</v>
      </c>
    </row>
    <row r="77" spans="1:19" ht="46.5" customHeight="1" thickBot="1">
      <c r="A77" s="138" t="s">
        <v>243</v>
      </c>
      <c r="B77" s="134" t="s">
        <v>152</v>
      </c>
      <c r="C77" s="134" t="s">
        <v>91</v>
      </c>
      <c r="D77" s="134" t="s">
        <v>244</v>
      </c>
      <c r="E77" s="142">
        <v>0</v>
      </c>
      <c r="F77" s="142">
        <v>0</v>
      </c>
      <c r="G77" s="134" t="e">
        <f>G71-$G$71</f>
        <v>#REF!</v>
      </c>
      <c r="H77" s="143" t="e">
        <f aca="true" t="shared" si="15" ref="H77:Q77">H71-$G$71</f>
        <v>#REF!</v>
      </c>
      <c r="I77" s="143" t="e">
        <f t="shared" si="15"/>
        <v>#REF!</v>
      </c>
      <c r="J77" s="143" t="e">
        <f t="shared" si="15"/>
        <v>#REF!</v>
      </c>
      <c r="K77" s="143" t="e">
        <f t="shared" si="15"/>
        <v>#REF!</v>
      </c>
      <c r="L77" s="142" t="e">
        <f t="shared" si="15"/>
        <v>#REF!</v>
      </c>
      <c r="M77" s="142" t="e">
        <f t="shared" si="15"/>
        <v>#REF!</v>
      </c>
      <c r="N77" s="142" t="e">
        <f t="shared" si="15"/>
        <v>#REF!</v>
      </c>
      <c r="O77" s="142" t="e">
        <f t="shared" si="15"/>
        <v>#REF!</v>
      </c>
      <c r="P77" s="142" t="e">
        <f t="shared" si="15"/>
        <v>#REF!</v>
      </c>
      <c r="Q77" s="142" t="e">
        <f t="shared" si="15"/>
        <v>#REF!</v>
      </c>
      <c r="R77" s="134"/>
      <c r="S77" s="134"/>
    </row>
    <row r="78" spans="1:19" ht="193.5" customHeight="1" thickBot="1">
      <c r="A78" s="138" t="s">
        <v>245</v>
      </c>
      <c r="B78" s="134" t="s">
        <v>249</v>
      </c>
      <c r="C78" s="134"/>
      <c r="D78" s="134"/>
      <c r="E78" s="134"/>
      <c r="F78" s="134"/>
      <c r="G78" s="13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34"/>
      <c r="S78" s="134"/>
    </row>
    <row r="79" spans="1:19" ht="30.75" thickBot="1">
      <c r="A79" s="138" t="s">
        <v>250</v>
      </c>
      <c r="B79" s="134" t="s">
        <v>148</v>
      </c>
      <c r="C79" s="134" t="s">
        <v>102</v>
      </c>
      <c r="D79" s="134" t="s">
        <v>251</v>
      </c>
      <c r="E79" s="134">
        <v>0</v>
      </c>
      <c r="F79" s="134">
        <v>0</v>
      </c>
      <c r="G79" s="142" t="e">
        <f aca="true" t="shared" si="16" ref="G79:P79">H71/H70-G71/G70</f>
        <v>#REF!</v>
      </c>
      <c r="H79" s="143" t="e">
        <f t="shared" si="16"/>
        <v>#REF!</v>
      </c>
      <c r="I79" s="143" t="e">
        <f t="shared" si="16"/>
        <v>#REF!</v>
      </c>
      <c r="J79" s="142" t="e">
        <f t="shared" si="16"/>
        <v>#REF!</v>
      </c>
      <c r="K79" s="142" t="e">
        <f t="shared" si="16"/>
        <v>#REF!</v>
      </c>
      <c r="L79" s="142" t="e">
        <f t="shared" si="16"/>
        <v>#REF!</v>
      </c>
      <c r="M79" s="142" t="e">
        <f t="shared" si="16"/>
        <v>#REF!</v>
      </c>
      <c r="N79" s="142" t="e">
        <f t="shared" si="16"/>
        <v>#REF!</v>
      </c>
      <c r="O79" s="142" t="e">
        <f t="shared" si="16"/>
        <v>#REF!</v>
      </c>
      <c r="P79" s="142" t="e">
        <f t="shared" si="16"/>
        <v>#REF!</v>
      </c>
      <c r="Q79" s="142">
        <v>0</v>
      </c>
      <c r="R79" s="134"/>
      <c r="S79" s="134"/>
    </row>
    <row r="80" spans="1:19" ht="30.75" thickBot="1">
      <c r="A80" s="138" t="s">
        <v>252</v>
      </c>
      <c r="B80" s="134" t="s">
        <v>152</v>
      </c>
      <c r="C80" s="134" t="s">
        <v>102</v>
      </c>
      <c r="D80" s="134" t="s">
        <v>253</v>
      </c>
      <c r="E80" s="134">
        <v>0</v>
      </c>
      <c r="F80" s="134">
        <v>0</v>
      </c>
      <c r="G80" s="134" t="e">
        <f>G71/G70-$G$71/$G$70</f>
        <v>#REF!</v>
      </c>
      <c r="H80" s="142" t="e">
        <f aca="true" t="shared" si="17" ref="H80:Q80">H71/H70-$G$71/$G$70</f>
        <v>#REF!</v>
      </c>
      <c r="I80" s="142" t="e">
        <f t="shared" si="17"/>
        <v>#REF!</v>
      </c>
      <c r="J80" s="142" t="e">
        <f t="shared" si="17"/>
        <v>#REF!</v>
      </c>
      <c r="K80" s="142" t="e">
        <f t="shared" si="17"/>
        <v>#REF!</v>
      </c>
      <c r="L80" s="142" t="e">
        <f t="shared" si="17"/>
        <v>#REF!</v>
      </c>
      <c r="M80" s="142" t="e">
        <f t="shared" si="17"/>
        <v>#REF!</v>
      </c>
      <c r="N80" s="142" t="e">
        <f t="shared" si="17"/>
        <v>#REF!</v>
      </c>
      <c r="O80" s="142" t="e">
        <f t="shared" si="17"/>
        <v>#REF!</v>
      </c>
      <c r="P80" s="142" t="e">
        <f t="shared" si="17"/>
        <v>#REF!</v>
      </c>
      <c r="Q80" s="142" t="e">
        <f t="shared" si="17"/>
        <v>#REF!</v>
      </c>
      <c r="R80" s="134"/>
      <c r="S80" s="134"/>
    </row>
    <row r="81" spans="1:20" ht="181.5" customHeight="1" thickBot="1">
      <c r="A81" s="138" t="s">
        <v>254</v>
      </c>
      <c r="B81" s="144" t="s">
        <v>256</v>
      </c>
      <c r="C81" s="134" t="s">
        <v>257</v>
      </c>
      <c r="D81" s="134" t="s">
        <v>258</v>
      </c>
      <c r="E81" s="134">
        <v>0</v>
      </c>
      <c r="F81" s="134">
        <v>0</v>
      </c>
      <c r="G81" s="142" t="e">
        <f>(#REF!+#REF!)/#REF!</f>
        <v>#REF!</v>
      </c>
      <c r="H81" s="142" t="e">
        <f>(#REF!+#REF!)/#REF!</f>
        <v>#REF!</v>
      </c>
      <c r="I81" s="142" t="e">
        <f>(#REF!+#REF!)/#REF!</f>
        <v>#REF!</v>
      </c>
      <c r="J81" s="142" t="e">
        <f>(#REF!+#REF!)/#REF!</f>
        <v>#REF!</v>
      </c>
      <c r="K81" s="142" t="e">
        <f>(#REF!+#REF!)/#REF!</f>
        <v>#REF!</v>
      </c>
      <c r="L81" s="142" t="e">
        <f>(#REF!+#REF!)/#REF!</f>
        <v>#REF!</v>
      </c>
      <c r="M81" s="142" t="e">
        <f>(#REF!+#REF!)/#REF!</f>
        <v>#REF!</v>
      </c>
      <c r="N81" s="142" t="e">
        <f>(#REF!+#REF!)/#REF!</f>
        <v>#REF!</v>
      </c>
      <c r="O81" s="142" t="e">
        <f>(#REF!+#REF!)/#REF!</f>
        <v>#REF!</v>
      </c>
      <c r="P81" s="142" t="e">
        <f>(#REF!+#REF!)/#REF!</f>
        <v>#REF!</v>
      </c>
      <c r="Q81" s="142" t="e">
        <f>(#REF!+#REF!)/#REF!</f>
        <v>#REF!</v>
      </c>
      <c r="R81" s="134"/>
      <c r="T81" s="134" t="e">
        <f>P81*1000/365*70</f>
        <v>#REF!</v>
      </c>
    </row>
    <row r="82" spans="1:19" ht="146.25" customHeight="1" thickBot="1">
      <c r="A82" s="138" t="s">
        <v>259</v>
      </c>
      <c r="B82" s="144" t="s">
        <v>274</v>
      </c>
      <c r="C82" s="134" t="s">
        <v>257</v>
      </c>
      <c r="D82" s="193" t="s">
        <v>260</v>
      </c>
      <c r="E82" s="142" t="e">
        <f>((#REF!-#REF!)+(#REF!-#REF!))/#REF!</f>
        <v>#REF!</v>
      </c>
      <c r="F82" s="142" t="e">
        <f>((#REF!-#REF!)+(#REF!-#REF!))/#REF!</f>
        <v>#REF!</v>
      </c>
      <c r="G82" s="142" t="e">
        <f>((#REF!-#REF!)+(#REF!-#REF!))/#REF!</f>
        <v>#REF!</v>
      </c>
      <c r="H82" s="142" t="e">
        <f>((#REF!-#REF!)+(#REF!-#REF!))/#REF!</f>
        <v>#REF!</v>
      </c>
      <c r="I82" s="142" t="e">
        <f>((#REF!-#REF!)+(#REF!-#REF!))/#REF!</f>
        <v>#REF!</v>
      </c>
      <c r="J82" s="142" t="e">
        <f>((#REF!-#REF!)+(#REF!-#REF!))/#REF!</f>
        <v>#REF!</v>
      </c>
      <c r="K82" s="142" t="e">
        <f>((#REF!-#REF!)+(#REF!-#REF!))/#REF!</f>
        <v>#REF!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34"/>
      <c r="S82" s="134"/>
    </row>
    <row r="83" spans="1:19" ht="209.25" customHeight="1" thickBot="1">
      <c r="A83" s="138" t="s">
        <v>261</v>
      </c>
      <c r="B83" s="134" t="s">
        <v>262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76.5" customHeight="1" thickBot="1">
      <c r="A84" s="138" t="s">
        <v>263</v>
      </c>
      <c r="B84" s="134" t="s">
        <v>148</v>
      </c>
      <c r="C84" s="134" t="s">
        <v>257</v>
      </c>
      <c r="D84" s="134" t="s">
        <v>264</v>
      </c>
      <c r="E84" s="142">
        <v>0</v>
      </c>
      <c r="F84" s="142">
        <v>0</v>
      </c>
      <c r="G84" s="142" t="e">
        <f aca="true" t="shared" si="18" ref="G84:P84">H81-G81</f>
        <v>#REF!</v>
      </c>
      <c r="H84" s="142" t="e">
        <f t="shared" si="18"/>
        <v>#REF!</v>
      </c>
      <c r="I84" s="142" t="e">
        <f t="shared" si="18"/>
        <v>#REF!</v>
      </c>
      <c r="J84" s="142" t="e">
        <f t="shared" si="18"/>
        <v>#REF!</v>
      </c>
      <c r="K84" s="142" t="e">
        <f t="shared" si="18"/>
        <v>#REF!</v>
      </c>
      <c r="L84" s="142" t="e">
        <f t="shared" si="18"/>
        <v>#REF!</v>
      </c>
      <c r="M84" s="142" t="e">
        <f t="shared" si="18"/>
        <v>#REF!</v>
      </c>
      <c r="N84" s="142" t="e">
        <f t="shared" si="18"/>
        <v>#REF!</v>
      </c>
      <c r="O84" s="142" t="e">
        <f t="shared" si="18"/>
        <v>#REF!</v>
      </c>
      <c r="P84" s="142" t="e">
        <f t="shared" si="18"/>
        <v>#REF!</v>
      </c>
      <c r="Q84" s="142">
        <v>0</v>
      </c>
      <c r="R84" s="134"/>
      <c r="S84" s="134" t="s">
        <v>150</v>
      </c>
    </row>
    <row r="85" spans="1:19" ht="30.75" thickBot="1">
      <c r="A85" s="138" t="s">
        <v>265</v>
      </c>
      <c r="B85" s="134" t="s">
        <v>152</v>
      </c>
      <c r="C85" s="134" t="s">
        <v>257</v>
      </c>
      <c r="D85" s="134" t="s">
        <v>266</v>
      </c>
      <c r="E85" s="142">
        <v>0</v>
      </c>
      <c r="F85" s="142">
        <v>0</v>
      </c>
      <c r="G85" s="142" t="e">
        <f aca="true" t="shared" si="19" ref="G85:Q85">G81-$G$81</f>
        <v>#REF!</v>
      </c>
      <c r="H85" s="142" t="e">
        <f t="shared" si="19"/>
        <v>#REF!</v>
      </c>
      <c r="I85" s="142" t="e">
        <f t="shared" si="19"/>
        <v>#REF!</v>
      </c>
      <c r="J85" s="142" t="e">
        <f t="shared" si="19"/>
        <v>#REF!</v>
      </c>
      <c r="K85" s="142" t="e">
        <f t="shared" si="19"/>
        <v>#REF!</v>
      </c>
      <c r="L85" s="142" t="e">
        <f t="shared" si="19"/>
        <v>#REF!</v>
      </c>
      <c r="M85" s="142" t="e">
        <f t="shared" si="19"/>
        <v>#REF!</v>
      </c>
      <c r="N85" s="142" t="e">
        <f t="shared" si="19"/>
        <v>#REF!</v>
      </c>
      <c r="O85" s="142" t="e">
        <f t="shared" si="19"/>
        <v>#REF!</v>
      </c>
      <c r="P85" s="142" t="e">
        <f t="shared" si="19"/>
        <v>#REF!</v>
      </c>
      <c r="Q85" s="142" t="e">
        <f t="shared" si="19"/>
        <v>#REF!</v>
      </c>
      <c r="R85" s="134"/>
      <c r="S85" s="134"/>
    </row>
    <row r="86" spans="1:19" ht="165.75" customHeight="1" thickBot="1">
      <c r="A86" s="138" t="s">
        <v>267</v>
      </c>
      <c r="B86" s="134" t="s">
        <v>268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86.25" customHeight="1" thickBot="1">
      <c r="A87" s="138" t="s">
        <v>269</v>
      </c>
      <c r="B87" s="134" t="s">
        <v>148</v>
      </c>
      <c r="C87" s="134" t="s">
        <v>257</v>
      </c>
      <c r="D87" s="134" t="s">
        <v>270</v>
      </c>
      <c r="E87" s="143" t="e">
        <f>F82-E82</f>
        <v>#REF!</v>
      </c>
      <c r="F87" s="143" t="e">
        <f aca="true" t="shared" si="20" ref="F87:P87">G82-F82</f>
        <v>#REF!</v>
      </c>
      <c r="G87" s="143" t="e">
        <f t="shared" si="20"/>
        <v>#REF!</v>
      </c>
      <c r="H87" s="143" t="e">
        <f t="shared" si="20"/>
        <v>#REF!</v>
      </c>
      <c r="I87" s="143" t="e">
        <f t="shared" si="20"/>
        <v>#REF!</v>
      </c>
      <c r="J87" s="143" t="e">
        <f t="shared" si="20"/>
        <v>#REF!</v>
      </c>
      <c r="K87" s="143" t="e">
        <f t="shared" si="20"/>
        <v>#REF!</v>
      </c>
      <c r="L87" s="143">
        <f t="shared" si="20"/>
        <v>0</v>
      </c>
      <c r="M87" s="143">
        <f t="shared" si="20"/>
        <v>0</v>
      </c>
      <c r="N87" s="143">
        <f t="shared" si="20"/>
        <v>0</v>
      </c>
      <c r="O87" s="143">
        <f t="shared" si="20"/>
        <v>0</v>
      </c>
      <c r="P87" s="143">
        <f t="shared" si="20"/>
        <v>0</v>
      </c>
      <c r="Q87" s="143">
        <v>0</v>
      </c>
      <c r="R87" s="134"/>
      <c r="S87" s="134" t="s">
        <v>150</v>
      </c>
    </row>
    <row r="88" spans="1:19" ht="36.75" customHeight="1" thickBot="1">
      <c r="A88" s="138" t="s">
        <v>271</v>
      </c>
      <c r="B88" s="134" t="s">
        <v>152</v>
      </c>
      <c r="C88" s="134" t="s">
        <v>257</v>
      </c>
      <c r="D88" s="134" t="s">
        <v>272</v>
      </c>
      <c r="E88" s="143">
        <v>0</v>
      </c>
      <c r="F88" s="143">
        <v>0</v>
      </c>
      <c r="G88" s="143" t="e">
        <f aca="true" t="shared" si="21" ref="G88:Q88">G82-$G$82</f>
        <v>#REF!</v>
      </c>
      <c r="H88" s="143" t="e">
        <f t="shared" si="21"/>
        <v>#REF!</v>
      </c>
      <c r="I88" s="143" t="e">
        <f t="shared" si="21"/>
        <v>#REF!</v>
      </c>
      <c r="J88" s="143" t="e">
        <f t="shared" si="21"/>
        <v>#REF!</v>
      </c>
      <c r="K88" s="143" t="e">
        <f t="shared" si="21"/>
        <v>#REF!</v>
      </c>
      <c r="L88" s="143" t="e">
        <f t="shared" si="21"/>
        <v>#REF!</v>
      </c>
      <c r="M88" s="143" t="e">
        <f t="shared" si="21"/>
        <v>#REF!</v>
      </c>
      <c r="N88" s="143" t="e">
        <f t="shared" si="21"/>
        <v>#REF!</v>
      </c>
      <c r="O88" s="143" t="e">
        <f t="shared" si="21"/>
        <v>#REF!</v>
      </c>
      <c r="P88" s="143" t="e">
        <f t="shared" si="21"/>
        <v>#REF!</v>
      </c>
      <c r="Q88" s="143" t="e">
        <f t="shared" si="21"/>
        <v>#REF!</v>
      </c>
      <c r="R88" s="134"/>
      <c r="S88" s="134"/>
    </row>
    <row r="89" spans="1:19" ht="216.75" customHeight="1" thickBot="1">
      <c r="A89" s="138" t="s">
        <v>273</v>
      </c>
      <c r="B89" s="134" t="s">
        <v>278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ht="30.75" thickBot="1">
      <c r="A90" s="138" t="s">
        <v>279</v>
      </c>
      <c r="B90" s="134" t="s">
        <v>148</v>
      </c>
      <c r="C90" s="134" t="s">
        <v>102</v>
      </c>
      <c r="D90" s="134" t="s">
        <v>280</v>
      </c>
      <c r="E90" s="134">
        <v>0</v>
      </c>
      <c r="F90" s="142">
        <v>0</v>
      </c>
      <c r="G90" s="142" t="e">
        <f>H82/H81-G82/G81</f>
        <v>#REF!</v>
      </c>
      <c r="H90" s="142" t="e">
        <f aca="true" t="shared" si="22" ref="H90:P90">I82/I81-H82/H81</f>
        <v>#REF!</v>
      </c>
      <c r="I90" s="142" t="e">
        <f t="shared" si="22"/>
        <v>#REF!</v>
      </c>
      <c r="J90" s="142" t="e">
        <f t="shared" si="22"/>
        <v>#REF!</v>
      </c>
      <c r="K90" s="142" t="e">
        <f t="shared" si="22"/>
        <v>#REF!</v>
      </c>
      <c r="L90" s="142" t="e">
        <f t="shared" si="22"/>
        <v>#REF!</v>
      </c>
      <c r="M90" s="142" t="e">
        <f t="shared" si="22"/>
        <v>#REF!</v>
      </c>
      <c r="N90" s="142" t="e">
        <f t="shared" si="22"/>
        <v>#REF!</v>
      </c>
      <c r="O90" s="142" t="e">
        <f t="shared" si="22"/>
        <v>#REF!</v>
      </c>
      <c r="P90" s="142" t="e">
        <f t="shared" si="22"/>
        <v>#REF!</v>
      </c>
      <c r="Q90" s="142">
        <v>0</v>
      </c>
      <c r="R90" s="134"/>
      <c r="S90" s="134"/>
    </row>
    <row r="91" spans="1:19" ht="30.75" thickBot="1">
      <c r="A91" s="138" t="s">
        <v>281</v>
      </c>
      <c r="B91" s="134" t="s">
        <v>152</v>
      </c>
      <c r="C91" s="134" t="s">
        <v>102</v>
      </c>
      <c r="D91" s="134" t="s">
        <v>282</v>
      </c>
      <c r="E91" s="134">
        <v>0</v>
      </c>
      <c r="F91" s="142">
        <v>0</v>
      </c>
      <c r="G91" s="142" t="e">
        <f>G82/G81-$G$82/$G$81</f>
        <v>#REF!</v>
      </c>
      <c r="H91" s="142" t="e">
        <f aca="true" t="shared" si="23" ref="H91:Q91">H82/H81-$G$82/$G$81</f>
        <v>#REF!</v>
      </c>
      <c r="I91" s="142" t="e">
        <f t="shared" si="23"/>
        <v>#REF!</v>
      </c>
      <c r="J91" s="142" t="e">
        <f t="shared" si="23"/>
        <v>#REF!</v>
      </c>
      <c r="K91" s="142" t="e">
        <f t="shared" si="23"/>
        <v>#REF!</v>
      </c>
      <c r="L91" s="142" t="e">
        <f t="shared" si="23"/>
        <v>#REF!</v>
      </c>
      <c r="M91" s="142" t="e">
        <f t="shared" si="23"/>
        <v>#REF!</v>
      </c>
      <c r="N91" s="142" t="e">
        <f t="shared" si="23"/>
        <v>#REF!</v>
      </c>
      <c r="O91" s="142" t="e">
        <f t="shared" si="23"/>
        <v>#REF!</v>
      </c>
      <c r="P91" s="142" t="e">
        <f t="shared" si="23"/>
        <v>#REF!</v>
      </c>
      <c r="Q91" s="142" t="e">
        <f t="shared" si="23"/>
        <v>#REF!</v>
      </c>
      <c r="R91" s="134"/>
      <c r="S91" s="134"/>
    </row>
    <row r="92" spans="1:19" ht="177.75" customHeight="1" thickBot="1">
      <c r="A92" s="138" t="s">
        <v>283</v>
      </c>
      <c r="B92" s="134" t="s">
        <v>284</v>
      </c>
      <c r="C92" s="134" t="s">
        <v>285</v>
      </c>
      <c r="D92" s="134" t="s">
        <v>286</v>
      </c>
      <c r="E92" s="183" t="e">
        <f>(#REF!+#REF!)/#REF!</f>
        <v>#REF!</v>
      </c>
      <c r="F92" s="183" t="e">
        <f>(#REF!+#REF!)/#REF!</f>
        <v>#REF!</v>
      </c>
      <c r="G92" s="183" t="e">
        <f>(#REF!+#REF!)/#REF!</f>
        <v>#REF!</v>
      </c>
      <c r="H92" s="183" t="e">
        <f>(#REF!+#REF!)/#REF!</f>
        <v>#REF!</v>
      </c>
      <c r="I92" s="183" t="e">
        <f>(#REF!+#REF!)/#REF!</f>
        <v>#REF!</v>
      </c>
      <c r="J92" s="183" t="e">
        <f>(#REF!+#REF!)/#REF!</f>
        <v>#REF!</v>
      </c>
      <c r="K92" s="142" t="e">
        <f>(#REF!+#REF!)/#REF!</f>
        <v>#REF!</v>
      </c>
      <c r="L92" s="142" t="e">
        <f>(#REF!+#REF!)/#REF!</f>
        <v>#REF!</v>
      </c>
      <c r="M92" s="142" t="e">
        <f>(#REF!+#REF!)/#REF!</f>
        <v>#REF!</v>
      </c>
      <c r="N92" s="142" t="e">
        <f>(#REF!+#REF!)/#REF!</f>
        <v>#REF!</v>
      </c>
      <c r="O92" s="142" t="e">
        <f>(#REF!+#REF!)/#REF!</f>
        <v>#REF!</v>
      </c>
      <c r="P92" s="142" t="e">
        <f>(#REF!+#REF!)/#REF!</f>
        <v>#REF!</v>
      </c>
      <c r="Q92" s="142" t="e">
        <f>(#REF!+#REF!)/#REF!</f>
        <v>#REF!</v>
      </c>
      <c r="R92" s="134"/>
      <c r="S92" s="134"/>
    </row>
    <row r="93" spans="1:19" ht="135.75" customHeight="1" thickBot="1">
      <c r="A93" s="138" t="s">
        <v>287</v>
      </c>
      <c r="B93" s="134" t="s">
        <v>288</v>
      </c>
      <c r="C93" s="134" t="s">
        <v>285</v>
      </c>
      <c r="D93" s="134" t="s">
        <v>289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/>
      <c r="S93" s="134"/>
    </row>
    <row r="94" spans="1:19" ht="210" customHeight="1" thickBot="1">
      <c r="A94" s="138" t="s">
        <v>290</v>
      </c>
      <c r="B94" s="134" t="s">
        <v>291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ht="48.75" customHeight="1" thickBot="1">
      <c r="A95" s="138" t="s">
        <v>292</v>
      </c>
      <c r="B95" s="134" t="s">
        <v>148</v>
      </c>
      <c r="C95" s="134" t="s">
        <v>285</v>
      </c>
      <c r="D95" s="134" t="s">
        <v>293</v>
      </c>
      <c r="E95" s="142" t="e">
        <f>F92-E92</f>
        <v>#REF!</v>
      </c>
      <c r="F95" s="142" t="e">
        <f aca="true" t="shared" si="24" ref="F95:P95">G92-F92</f>
        <v>#REF!</v>
      </c>
      <c r="G95" s="142" t="e">
        <f t="shared" si="24"/>
        <v>#REF!</v>
      </c>
      <c r="H95" s="143" t="e">
        <f t="shared" si="24"/>
        <v>#REF!</v>
      </c>
      <c r="I95" s="142" t="e">
        <f t="shared" si="24"/>
        <v>#REF!</v>
      </c>
      <c r="J95" s="142" t="e">
        <f t="shared" si="24"/>
        <v>#REF!</v>
      </c>
      <c r="K95" s="142" t="e">
        <f t="shared" si="24"/>
        <v>#REF!</v>
      </c>
      <c r="L95" s="142" t="e">
        <f t="shared" si="24"/>
        <v>#REF!</v>
      </c>
      <c r="M95" s="142" t="e">
        <f t="shared" si="24"/>
        <v>#REF!</v>
      </c>
      <c r="N95" s="142" t="e">
        <f t="shared" si="24"/>
        <v>#REF!</v>
      </c>
      <c r="O95" s="142" t="e">
        <f t="shared" si="24"/>
        <v>#REF!</v>
      </c>
      <c r="P95" s="142" t="e">
        <f t="shared" si="24"/>
        <v>#REF!</v>
      </c>
      <c r="Q95" s="142">
        <v>-0.22239030686898786</v>
      </c>
      <c r="R95" s="134"/>
      <c r="S95" s="134" t="s">
        <v>150</v>
      </c>
    </row>
    <row r="96" spans="1:19" ht="30.75" thickBot="1">
      <c r="A96" s="138" t="s">
        <v>294</v>
      </c>
      <c r="B96" s="134" t="s">
        <v>152</v>
      </c>
      <c r="C96" s="134" t="s">
        <v>285</v>
      </c>
      <c r="D96" s="134" t="s">
        <v>295</v>
      </c>
      <c r="E96" s="141">
        <v>0</v>
      </c>
      <c r="F96" s="141">
        <v>0</v>
      </c>
      <c r="G96" s="141">
        <v>0</v>
      </c>
      <c r="H96" s="141" t="e">
        <f aca="true" t="shared" si="25" ref="H96:Q96">H92-$G$92</f>
        <v>#REF!</v>
      </c>
      <c r="I96" s="141" t="e">
        <f t="shared" si="25"/>
        <v>#REF!</v>
      </c>
      <c r="J96" s="141" t="e">
        <f t="shared" si="25"/>
        <v>#REF!</v>
      </c>
      <c r="K96" s="141" t="e">
        <f t="shared" si="25"/>
        <v>#REF!</v>
      </c>
      <c r="L96" s="141" t="e">
        <f t="shared" si="25"/>
        <v>#REF!</v>
      </c>
      <c r="M96" s="141" t="e">
        <f t="shared" si="25"/>
        <v>#REF!</v>
      </c>
      <c r="N96" s="141" t="e">
        <f t="shared" si="25"/>
        <v>#REF!</v>
      </c>
      <c r="O96" s="141" t="e">
        <f t="shared" si="25"/>
        <v>#REF!</v>
      </c>
      <c r="P96" s="141" t="e">
        <f t="shared" si="25"/>
        <v>#REF!</v>
      </c>
      <c r="Q96" s="141" t="e">
        <f t="shared" si="25"/>
        <v>#REF!</v>
      </c>
      <c r="R96" s="134"/>
      <c r="S96" s="134"/>
    </row>
    <row r="97" spans="1:19" ht="144" customHeight="1" thickBot="1">
      <c r="A97" s="138" t="s">
        <v>296</v>
      </c>
      <c r="B97" s="134" t="s">
        <v>297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 t="s">
        <v>150</v>
      </c>
    </row>
    <row r="98" spans="1:19" ht="15.75" thickBot="1">
      <c r="A98" s="138" t="s">
        <v>298</v>
      </c>
      <c r="B98" s="134" t="s">
        <v>148</v>
      </c>
      <c r="C98" s="134" t="s">
        <v>285</v>
      </c>
      <c r="D98" s="134" t="s">
        <v>299</v>
      </c>
      <c r="E98" s="141">
        <f>F93-E93</f>
        <v>0</v>
      </c>
      <c r="F98" s="141">
        <f>G93-F93</f>
        <v>0</v>
      </c>
      <c r="G98" s="141">
        <f>H93-G93</f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34"/>
    </row>
    <row r="99" spans="1:19" ht="30.75" thickBot="1">
      <c r="A99" s="138" t="s">
        <v>300</v>
      </c>
      <c r="B99" s="134" t="s">
        <v>152</v>
      </c>
      <c r="C99" s="134" t="s">
        <v>285</v>
      </c>
      <c r="D99" s="134" t="s">
        <v>301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34"/>
    </row>
    <row r="100" spans="1:19" ht="221.25" customHeight="1" thickBot="1">
      <c r="A100" s="138" t="s">
        <v>302</v>
      </c>
      <c r="B100" s="134" t="s">
        <v>303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ht="37.5" customHeight="1" thickBot="1">
      <c r="A101" s="138" t="s">
        <v>304</v>
      </c>
      <c r="B101" s="134" t="s">
        <v>148</v>
      </c>
      <c r="C101" s="134" t="s">
        <v>102</v>
      </c>
      <c r="D101" s="134" t="s">
        <v>305</v>
      </c>
      <c r="E101" s="141" t="e">
        <f>(F93/F92)-(E93/E92)</f>
        <v>#REF!</v>
      </c>
      <c r="F101" s="141" t="e">
        <f aca="true" t="shared" si="26" ref="F101:P101">(G93/G92)-(F93/F92)</f>
        <v>#REF!</v>
      </c>
      <c r="G101" s="141" t="e">
        <f t="shared" si="26"/>
        <v>#REF!</v>
      </c>
      <c r="H101" s="141" t="e">
        <f t="shared" si="26"/>
        <v>#REF!</v>
      </c>
      <c r="I101" s="141" t="e">
        <f t="shared" si="26"/>
        <v>#REF!</v>
      </c>
      <c r="J101" s="141" t="e">
        <f t="shared" si="26"/>
        <v>#REF!</v>
      </c>
      <c r="K101" s="141" t="e">
        <f t="shared" si="26"/>
        <v>#REF!</v>
      </c>
      <c r="L101" s="141" t="e">
        <f t="shared" si="26"/>
        <v>#REF!</v>
      </c>
      <c r="M101" s="141" t="e">
        <f t="shared" si="26"/>
        <v>#REF!</v>
      </c>
      <c r="N101" s="141" t="e">
        <f t="shared" si="26"/>
        <v>#REF!</v>
      </c>
      <c r="O101" s="141" t="e">
        <f t="shared" si="26"/>
        <v>#REF!</v>
      </c>
      <c r="P101" s="141" t="e">
        <f t="shared" si="26"/>
        <v>#REF!</v>
      </c>
      <c r="Q101" s="141">
        <v>0</v>
      </c>
      <c r="R101" s="134"/>
      <c r="S101" s="134"/>
    </row>
    <row r="102" spans="1:19" ht="30.75" thickBot="1">
      <c r="A102" s="138" t="s">
        <v>306</v>
      </c>
      <c r="B102" s="134" t="s">
        <v>152</v>
      </c>
      <c r="C102" s="134" t="s">
        <v>102</v>
      </c>
      <c r="D102" s="134" t="s">
        <v>307</v>
      </c>
      <c r="E102" s="141" t="e">
        <f>E93/E92-$G$93/$G$92</f>
        <v>#REF!</v>
      </c>
      <c r="F102" s="141" t="e">
        <f aca="true" t="shared" si="27" ref="F102:Q102">F93/F92-$G$93/$G$92</f>
        <v>#REF!</v>
      </c>
      <c r="G102" s="141" t="e">
        <f t="shared" si="27"/>
        <v>#REF!</v>
      </c>
      <c r="H102" s="141" t="e">
        <f t="shared" si="27"/>
        <v>#REF!</v>
      </c>
      <c r="I102" s="141" t="e">
        <f t="shared" si="27"/>
        <v>#REF!</v>
      </c>
      <c r="J102" s="141" t="e">
        <f t="shared" si="27"/>
        <v>#REF!</v>
      </c>
      <c r="K102" s="141" t="e">
        <f t="shared" si="27"/>
        <v>#REF!</v>
      </c>
      <c r="L102" s="141" t="e">
        <f t="shared" si="27"/>
        <v>#REF!</v>
      </c>
      <c r="M102" s="141" t="e">
        <f t="shared" si="27"/>
        <v>#REF!</v>
      </c>
      <c r="N102" s="141" t="e">
        <f t="shared" si="27"/>
        <v>#REF!</v>
      </c>
      <c r="O102" s="141" t="e">
        <f t="shared" si="27"/>
        <v>#REF!</v>
      </c>
      <c r="P102" s="141" t="e">
        <f t="shared" si="27"/>
        <v>#REF!</v>
      </c>
      <c r="Q102" s="141" t="e">
        <f t="shared" si="27"/>
        <v>#REF!</v>
      </c>
      <c r="R102" s="134"/>
      <c r="S102" s="134"/>
    </row>
    <row r="103" spans="1:19" ht="204" customHeight="1" thickBot="1">
      <c r="A103" s="138" t="s">
        <v>308</v>
      </c>
      <c r="B103" s="134" t="s">
        <v>309</v>
      </c>
      <c r="C103" s="134" t="s">
        <v>310</v>
      </c>
      <c r="D103" s="134" t="s">
        <v>311</v>
      </c>
      <c r="E103" s="194" t="e">
        <f>(#REF!+#REF!)/#REF!</f>
        <v>#REF!</v>
      </c>
      <c r="F103" s="194" t="e">
        <f>(#REF!+#REF!)/#REF!</f>
        <v>#REF!</v>
      </c>
      <c r="G103" s="194" t="e">
        <f>(#REF!+#REF!)/#REF!</f>
        <v>#REF!</v>
      </c>
      <c r="H103" s="194" t="e">
        <f>(#REF!+#REF!)/#REF!</f>
        <v>#REF!</v>
      </c>
      <c r="I103" s="194" t="e">
        <f>(#REF!+#REF!)/#REF!</f>
        <v>#REF!</v>
      </c>
      <c r="J103" s="194" t="e">
        <f>(#REF!+#REF!)/#REF!</f>
        <v>#REF!</v>
      </c>
      <c r="K103" s="143" t="e">
        <f>(#REF!+#REF!)/#REF!</f>
        <v>#REF!</v>
      </c>
      <c r="L103" s="143" t="e">
        <f>(#REF!+#REF!)/#REF!</f>
        <v>#REF!</v>
      </c>
      <c r="M103" s="143" t="e">
        <f>(#REF!+#REF!)/#REF!</f>
        <v>#REF!</v>
      </c>
      <c r="N103" s="143" t="e">
        <f>(#REF!+#REF!)/#REF!</f>
        <v>#REF!</v>
      </c>
      <c r="O103" s="143" t="e">
        <f>(#REF!+#REF!)/#REF!</f>
        <v>#REF!</v>
      </c>
      <c r="P103" s="143" t="e">
        <f>(#REF!+#REF!)/#REF!</f>
        <v>#REF!</v>
      </c>
      <c r="Q103" s="143" t="e">
        <f>(#REF!+#REF!)/#REF!</f>
        <v>#REF!</v>
      </c>
      <c r="R103" s="134"/>
      <c r="S103" s="134"/>
    </row>
    <row r="104" spans="1:19" ht="143.25" customHeight="1" thickBot="1">
      <c r="A104" s="138" t="s">
        <v>312</v>
      </c>
      <c r="B104" s="134" t="s">
        <v>313</v>
      </c>
      <c r="C104" s="134" t="s">
        <v>310</v>
      </c>
      <c r="D104" s="134" t="s">
        <v>314</v>
      </c>
      <c r="E104" s="194" t="e">
        <f>((#REF!-#REF!)+(#REF!-#REF!))/#REF!</f>
        <v>#REF!</v>
      </c>
      <c r="F104" s="194" t="e">
        <f>((#REF!-#REF!)+(#REF!-#REF!))/#REF!</f>
        <v>#REF!</v>
      </c>
      <c r="G104" s="194" t="e">
        <f>((#REF!-#REF!)+(#REF!-#REF!))/#REF!</f>
        <v>#REF!</v>
      </c>
      <c r="H104" s="194" t="e">
        <f>((#REF!-#REF!)+(#REF!-#REF!))/#REF!</f>
        <v>#REF!</v>
      </c>
      <c r="I104" s="194" t="e">
        <f>((#REF!-#REF!)+(#REF!-#REF!))/#REF!</f>
        <v>#REF!</v>
      </c>
      <c r="J104" s="194" t="e">
        <f>((#REF!-#REF!)+(#REF!-#REF!))/#REF!</f>
        <v>#REF!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34"/>
      <c r="S104" s="134"/>
    </row>
    <row r="105" spans="1:19" ht="183.75" customHeight="1" thickBot="1">
      <c r="A105" s="138" t="s">
        <v>315</v>
      </c>
      <c r="B105" s="134" t="s">
        <v>317</v>
      </c>
      <c r="C105" s="134"/>
      <c r="D105" s="134"/>
      <c r="E105" s="134"/>
      <c r="F105" s="134"/>
      <c r="G105" s="134"/>
      <c r="H105" s="134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ht="75.75" thickBot="1">
      <c r="A106" s="138" t="s">
        <v>318</v>
      </c>
      <c r="B106" s="134" t="s">
        <v>148</v>
      </c>
      <c r="C106" s="134" t="s">
        <v>310</v>
      </c>
      <c r="D106" s="134" t="s">
        <v>319</v>
      </c>
      <c r="E106" s="143" t="e">
        <f>F103-E103</f>
        <v>#REF!</v>
      </c>
      <c r="F106" s="143" t="e">
        <f>G103-F103</f>
        <v>#REF!</v>
      </c>
      <c r="G106" s="195" t="e">
        <f aca="true" t="shared" si="28" ref="G106:Q106">H103-G103</f>
        <v>#REF!</v>
      </c>
      <c r="H106" s="143" t="e">
        <f t="shared" si="28"/>
        <v>#REF!</v>
      </c>
      <c r="I106" s="143" t="e">
        <f t="shared" si="28"/>
        <v>#REF!</v>
      </c>
      <c r="J106" s="143" t="e">
        <f t="shared" si="28"/>
        <v>#REF!</v>
      </c>
      <c r="K106" s="143" t="e">
        <f t="shared" si="28"/>
        <v>#REF!</v>
      </c>
      <c r="L106" s="143" t="e">
        <f t="shared" si="28"/>
        <v>#REF!</v>
      </c>
      <c r="M106" s="143" t="e">
        <f t="shared" si="28"/>
        <v>#REF!</v>
      </c>
      <c r="N106" s="143" t="e">
        <f t="shared" si="28"/>
        <v>#REF!</v>
      </c>
      <c r="O106" s="143" t="e">
        <f t="shared" si="28"/>
        <v>#REF!</v>
      </c>
      <c r="P106" s="143" t="e">
        <f t="shared" si="28"/>
        <v>#REF!</v>
      </c>
      <c r="Q106" s="143" t="e">
        <f t="shared" si="28"/>
        <v>#REF!</v>
      </c>
      <c r="R106" s="134"/>
      <c r="S106" s="134" t="s">
        <v>150</v>
      </c>
    </row>
    <row r="107" spans="1:19" ht="30.75" thickBot="1">
      <c r="A107" s="138" t="s">
        <v>320</v>
      </c>
      <c r="B107" s="134" t="s">
        <v>152</v>
      </c>
      <c r="C107" s="134" t="s">
        <v>310</v>
      </c>
      <c r="D107" s="134" t="s">
        <v>321</v>
      </c>
      <c r="E107" s="143" t="e">
        <f>E103-$G$103</f>
        <v>#REF!</v>
      </c>
      <c r="F107" s="143" t="e">
        <f>F103-$G$103</f>
        <v>#REF!</v>
      </c>
      <c r="G107" s="143" t="e">
        <f aca="true" t="shared" si="29" ref="G107:Q107">G103-$G$103</f>
        <v>#REF!</v>
      </c>
      <c r="H107" s="195" t="e">
        <f t="shared" si="29"/>
        <v>#REF!</v>
      </c>
      <c r="I107" s="195" t="e">
        <f t="shared" si="29"/>
        <v>#REF!</v>
      </c>
      <c r="J107" s="143" t="e">
        <f t="shared" si="29"/>
        <v>#REF!</v>
      </c>
      <c r="K107" s="134" t="e">
        <f t="shared" si="29"/>
        <v>#REF!</v>
      </c>
      <c r="L107" s="134" t="e">
        <f t="shared" si="29"/>
        <v>#REF!</v>
      </c>
      <c r="M107" s="134" t="e">
        <f t="shared" si="29"/>
        <v>#REF!</v>
      </c>
      <c r="N107" s="134" t="e">
        <f t="shared" si="29"/>
        <v>#REF!</v>
      </c>
      <c r="O107" s="134" t="e">
        <f t="shared" si="29"/>
        <v>#REF!</v>
      </c>
      <c r="P107" s="134" t="e">
        <f t="shared" si="29"/>
        <v>#REF!</v>
      </c>
      <c r="Q107" s="134" t="e">
        <f t="shared" si="29"/>
        <v>#REF!</v>
      </c>
      <c r="R107" s="134"/>
      <c r="S107" s="134"/>
    </row>
    <row r="108" spans="1:19" ht="159.75" customHeight="1" thickBot="1">
      <c r="A108" s="138" t="s">
        <v>322</v>
      </c>
      <c r="B108" s="134" t="s">
        <v>328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ht="78" customHeight="1" thickBot="1">
      <c r="A109" s="138" t="s">
        <v>329</v>
      </c>
      <c r="B109" s="134" t="s">
        <v>148</v>
      </c>
      <c r="C109" s="134" t="s">
        <v>310</v>
      </c>
      <c r="D109" s="134" t="s">
        <v>330</v>
      </c>
      <c r="E109" s="143" t="e">
        <f>F104-E104</f>
        <v>#REF!</v>
      </c>
      <c r="F109" s="143" t="e">
        <f aca="true" t="shared" si="30" ref="F109:Q109">G104-F104</f>
        <v>#REF!</v>
      </c>
      <c r="G109" s="143" t="e">
        <f t="shared" si="30"/>
        <v>#REF!</v>
      </c>
      <c r="H109" s="143" t="e">
        <f t="shared" si="30"/>
        <v>#REF!</v>
      </c>
      <c r="I109" s="143" t="e">
        <f t="shared" si="30"/>
        <v>#REF!</v>
      </c>
      <c r="J109" s="143" t="e">
        <f t="shared" si="30"/>
        <v>#REF!</v>
      </c>
      <c r="K109" s="143">
        <f t="shared" si="30"/>
        <v>0</v>
      </c>
      <c r="L109" s="143">
        <f t="shared" si="30"/>
        <v>0</v>
      </c>
      <c r="M109" s="143">
        <f t="shared" si="30"/>
        <v>0</v>
      </c>
      <c r="N109" s="143">
        <f t="shared" si="30"/>
        <v>0</v>
      </c>
      <c r="O109" s="143">
        <f t="shared" si="30"/>
        <v>0</v>
      </c>
      <c r="P109" s="143">
        <f t="shared" si="30"/>
        <v>0</v>
      </c>
      <c r="Q109" s="143">
        <f t="shared" si="30"/>
        <v>0</v>
      </c>
      <c r="R109" s="134"/>
      <c r="S109" s="134" t="s">
        <v>150</v>
      </c>
    </row>
    <row r="110" spans="1:19" ht="54.75" customHeight="1" thickBot="1">
      <c r="A110" s="138" t="s">
        <v>331</v>
      </c>
      <c r="B110" s="134" t="s">
        <v>152</v>
      </c>
      <c r="C110" s="134" t="s">
        <v>310</v>
      </c>
      <c r="D110" s="134" t="s">
        <v>332</v>
      </c>
      <c r="E110" s="143" t="e">
        <f>E104-$G$104</f>
        <v>#REF!</v>
      </c>
      <c r="F110" s="143" t="e">
        <f>F104-$G$104</f>
        <v>#REF!</v>
      </c>
      <c r="G110" s="143" t="e">
        <f aca="true" t="shared" si="31" ref="G110:Q110">G104-$G$104</f>
        <v>#REF!</v>
      </c>
      <c r="H110" s="143" t="e">
        <f t="shared" si="31"/>
        <v>#REF!</v>
      </c>
      <c r="I110" s="143" t="e">
        <f t="shared" si="31"/>
        <v>#REF!</v>
      </c>
      <c r="J110" s="143" t="e">
        <f t="shared" si="31"/>
        <v>#REF!</v>
      </c>
      <c r="K110" s="143" t="e">
        <f t="shared" si="31"/>
        <v>#REF!</v>
      </c>
      <c r="L110" s="143" t="e">
        <f t="shared" si="31"/>
        <v>#REF!</v>
      </c>
      <c r="M110" s="143" t="e">
        <f t="shared" si="31"/>
        <v>#REF!</v>
      </c>
      <c r="N110" s="143" t="e">
        <f t="shared" si="31"/>
        <v>#REF!</v>
      </c>
      <c r="O110" s="143" t="e">
        <f t="shared" si="31"/>
        <v>#REF!</v>
      </c>
      <c r="P110" s="143" t="e">
        <f t="shared" si="31"/>
        <v>#REF!</v>
      </c>
      <c r="Q110" s="143" t="e">
        <f t="shared" si="31"/>
        <v>#REF!</v>
      </c>
      <c r="R110" s="134"/>
      <c r="S110" s="134"/>
    </row>
    <row r="111" spans="1:19" ht="219" customHeight="1" thickBot="1">
      <c r="A111" s="138" t="s">
        <v>333</v>
      </c>
      <c r="B111" s="134" t="s">
        <v>334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ht="30.75" thickBot="1">
      <c r="A112" s="138" t="s">
        <v>335</v>
      </c>
      <c r="B112" s="134" t="s">
        <v>148</v>
      </c>
      <c r="C112" s="134" t="s">
        <v>102</v>
      </c>
      <c r="D112" s="134" t="s">
        <v>336</v>
      </c>
      <c r="E112" s="143" t="e">
        <f>F104/F103-E104/E103</f>
        <v>#REF!</v>
      </c>
      <c r="F112" s="143" t="e">
        <f aca="true" t="shared" si="32" ref="F112:P112">G104/G103-F104/F103</f>
        <v>#REF!</v>
      </c>
      <c r="G112" s="143" t="e">
        <f t="shared" si="32"/>
        <v>#REF!</v>
      </c>
      <c r="H112" s="143" t="e">
        <f t="shared" si="32"/>
        <v>#REF!</v>
      </c>
      <c r="I112" s="143" t="e">
        <f t="shared" si="32"/>
        <v>#REF!</v>
      </c>
      <c r="J112" s="143" t="e">
        <f t="shared" si="32"/>
        <v>#REF!</v>
      </c>
      <c r="K112" s="143" t="e">
        <f t="shared" si="32"/>
        <v>#REF!</v>
      </c>
      <c r="L112" s="143" t="e">
        <f t="shared" si="32"/>
        <v>#REF!</v>
      </c>
      <c r="M112" s="143" t="e">
        <f t="shared" si="32"/>
        <v>#REF!</v>
      </c>
      <c r="N112" s="143" t="e">
        <f t="shared" si="32"/>
        <v>#REF!</v>
      </c>
      <c r="O112" s="143" t="e">
        <f t="shared" si="32"/>
        <v>#REF!</v>
      </c>
      <c r="P112" s="143" t="e">
        <f t="shared" si="32"/>
        <v>#REF!</v>
      </c>
      <c r="Q112" s="143">
        <v>0</v>
      </c>
      <c r="R112" s="134"/>
      <c r="S112" s="134"/>
    </row>
    <row r="113" spans="1:19" ht="30.75" thickBot="1">
      <c r="A113" s="138" t="s">
        <v>337</v>
      </c>
      <c r="B113" s="134" t="s">
        <v>152</v>
      </c>
      <c r="C113" s="134" t="s">
        <v>102</v>
      </c>
      <c r="D113" s="134" t="s">
        <v>338</v>
      </c>
      <c r="E113" s="143" t="e">
        <f>E104/E103-$G$104/$G$103</f>
        <v>#REF!</v>
      </c>
      <c r="F113" s="143" t="e">
        <f aca="true" t="shared" si="33" ref="F113:Q113">F104/F103-$G$104/$G$103</f>
        <v>#REF!</v>
      </c>
      <c r="G113" s="143" t="e">
        <f t="shared" si="33"/>
        <v>#REF!</v>
      </c>
      <c r="H113" s="143" t="e">
        <f t="shared" si="33"/>
        <v>#REF!</v>
      </c>
      <c r="I113" s="143" t="e">
        <f t="shared" si="33"/>
        <v>#REF!</v>
      </c>
      <c r="J113" s="143" t="e">
        <f t="shared" si="33"/>
        <v>#REF!</v>
      </c>
      <c r="K113" s="143" t="e">
        <f t="shared" si="33"/>
        <v>#REF!</v>
      </c>
      <c r="L113" s="143" t="e">
        <f t="shared" si="33"/>
        <v>#REF!</v>
      </c>
      <c r="M113" s="143" t="e">
        <f t="shared" si="33"/>
        <v>#REF!</v>
      </c>
      <c r="N113" s="143" t="e">
        <f t="shared" si="33"/>
        <v>#REF!</v>
      </c>
      <c r="O113" s="143" t="e">
        <f t="shared" si="33"/>
        <v>#REF!</v>
      </c>
      <c r="P113" s="143" t="e">
        <f t="shared" si="33"/>
        <v>#REF!</v>
      </c>
      <c r="Q113" s="143" t="e">
        <f t="shared" si="33"/>
        <v>#REF!</v>
      </c>
      <c r="R113" s="134"/>
      <c r="S113" s="134"/>
    </row>
    <row r="114" spans="1:19" ht="47.25" customHeight="1" thickBot="1">
      <c r="A114" s="668" t="s">
        <v>339</v>
      </c>
      <c r="B114" s="669"/>
      <c r="C114" s="669"/>
      <c r="D114" s="669"/>
      <c r="E114" s="669"/>
      <c r="F114" s="669"/>
      <c r="G114" s="669"/>
      <c r="H114" s="669"/>
      <c r="I114" s="669"/>
      <c r="J114" s="669"/>
      <c r="K114" s="669"/>
      <c r="L114" s="669"/>
      <c r="M114" s="669"/>
      <c r="N114" s="669"/>
      <c r="O114" s="669"/>
      <c r="P114" s="669"/>
      <c r="Q114" s="669"/>
      <c r="R114" s="669"/>
      <c r="S114" s="670"/>
    </row>
    <row r="115" spans="1:19" ht="67.5" customHeight="1" thickBot="1">
      <c r="A115" s="138" t="s">
        <v>340</v>
      </c>
      <c r="B115" s="134" t="s">
        <v>341</v>
      </c>
      <c r="C115" s="134" t="s">
        <v>342</v>
      </c>
      <c r="D115" s="134" t="s">
        <v>343</v>
      </c>
      <c r="E115" s="148" t="e">
        <f>#REF!-#REF!</f>
        <v>#REF!</v>
      </c>
      <c r="F115" s="148" t="e">
        <f>#REF!-#REF!</f>
        <v>#REF!</v>
      </c>
      <c r="G115" s="148" t="e">
        <f>#REF!-#REF!</f>
        <v>#REF!</v>
      </c>
      <c r="H115" s="148" t="e">
        <f>#REF!-#REF!</f>
        <v>#REF!</v>
      </c>
      <c r="I115" s="148" t="e">
        <f>#REF!-#REF!</f>
        <v>#REF!</v>
      </c>
      <c r="J115" s="148" t="e">
        <f>#REF!-#REF!</f>
        <v>#REF!</v>
      </c>
      <c r="K115" s="148" t="e">
        <f>#REF!-#REF!</f>
        <v>#REF!</v>
      </c>
      <c r="L115" s="148" t="e">
        <f>#REF!-#REF!</f>
        <v>#REF!</v>
      </c>
      <c r="M115" s="148" t="e">
        <f>#REF!-#REF!</f>
        <v>#REF!</v>
      </c>
      <c r="N115" s="148" t="e">
        <f>#REF!-#REF!</f>
        <v>#REF!</v>
      </c>
      <c r="O115" s="148" t="e">
        <f>#REF!-#REF!</f>
        <v>#REF!</v>
      </c>
      <c r="P115" s="148" t="e">
        <f>#REF!-#REF!</f>
        <v>#REF!</v>
      </c>
      <c r="Q115" s="148" t="e">
        <f>#REF!-#REF!</f>
        <v>#REF!</v>
      </c>
      <c r="R115" s="148"/>
      <c r="S115" s="671" t="s">
        <v>344</v>
      </c>
    </row>
    <row r="116" spans="1:19" ht="39" customHeight="1" thickBot="1">
      <c r="A116" s="138" t="s">
        <v>345</v>
      </c>
      <c r="B116" s="134" t="s">
        <v>346</v>
      </c>
      <c r="C116" s="134" t="s">
        <v>347</v>
      </c>
      <c r="D116" s="134" t="s">
        <v>348</v>
      </c>
      <c r="E116" s="148" t="e">
        <f>#REF!-#REF!</f>
        <v>#REF!</v>
      </c>
      <c r="F116" s="148" t="e">
        <f>#REF!-#REF!</f>
        <v>#REF!</v>
      </c>
      <c r="G116" s="148" t="e">
        <f>#REF!-#REF!</f>
        <v>#REF!</v>
      </c>
      <c r="H116" s="148" t="e">
        <f>#REF!-#REF!</f>
        <v>#REF!</v>
      </c>
      <c r="I116" s="148" t="e">
        <f>#REF!-#REF!</f>
        <v>#REF!</v>
      </c>
      <c r="J116" s="148" t="e">
        <f>#REF!-#REF!</f>
        <v>#REF!</v>
      </c>
      <c r="K116" s="148" t="e">
        <f>#REF!-#REF!</f>
        <v>#REF!</v>
      </c>
      <c r="L116" s="148" t="e">
        <f>#REF!-#REF!</f>
        <v>#REF!</v>
      </c>
      <c r="M116" s="148" t="e">
        <f>#REF!-#REF!</f>
        <v>#REF!</v>
      </c>
      <c r="N116" s="148" t="e">
        <f>#REF!-#REF!</f>
        <v>#REF!</v>
      </c>
      <c r="O116" s="148" t="e">
        <f>#REF!-#REF!</f>
        <v>#REF!</v>
      </c>
      <c r="P116" s="148" t="e">
        <f>#REF!-#REF!</f>
        <v>#REF!</v>
      </c>
      <c r="Q116" s="148" t="e">
        <f>#REF!-#REF!</f>
        <v>#REF!</v>
      </c>
      <c r="R116" s="148"/>
      <c r="S116" s="673"/>
    </row>
    <row r="117" spans="1:19" ht="90.75" thickBot="1">
      <c r="A117" s="138" t="s">
        <v>349</v>
      </c>
      <c r="B117" s="134" t="s">
        <v>350</v>
      </c>
      <c r="C117" s="134" t="s">
        <v>14</v>
      </c>
      <c r="D117" s="134" t="s">
        <v>351</v>
      </c>
      <c r="E117" s="149" t="e">
        <f>(#REF!/#REF!)*100</f>
        <v>#REF!</v>
      </c>
      <c r="F117" s="148" t="e">
        <f>(#REF!/#REF!)*100</f>
        <v>#REF!</v>
      </c>
      <c r="G117" s="148" t="e">
        <f>(#REF!/#REF!)*100</f>
        <v>#REF!</v>
      </c>
      <c r="H117" s="148" t="e">
        <f>(#REF!/#REF!)*100</f>
        <v>#REF!</v>
      </c>
      <c r="I117" s="149" t="e">
        <f>(#REF!/#REF!)*100</f>
        <v>#REF!</v>
      </c>
      <c r="J117" s="149" t="e">
        <f>(#REF!/#REF!)*100</f>
        <v>#REF!</v>
      </c>
      <c r="K117" s="149" t="e">
        <f>(#REF!/#REF!)*100</f>
        <v>#REF!</v>
      </c>
      <c r="L117" s="149" t="e">
        <f>(#REF!/#REF!)*100</f>
        <v>#REF!</v>
      </c>
      <c r="M117" s="149" t="e">
        <f>(#REF!/#REF!)*100</f>
        <v>#REF!</v>
      </c>
      <c r="N117" s="149" t="e">
        <f>(#REF!/#REF!)*100</f>
        <v>#REF!</v>
      </c>
      <c r="O117" s="149" t="e">
        <f>(#REF!/#REF!)*100</f>
        <v>#REF!</v>
      </c>
      <c r="P117" s="149" t="e">
        <f>(#REF!/#REF!)*100</f>
        <v>#REF!</v>
      </c>
      <c r="Q117" s="149" t="e">
        <f>(#REF!/#REF!)*100</f>
        <v>#REF!</v>
      </c>
      <c r="R117" s="148"/>
      <c r="S117" s="673"/>
    </row>
    <row r="118" spans="1:19" ht="67.5" customHeight="1" thickBot="1">
      <c r="A118" s="138" t="s">
        <v>352</v>
      </c>
      <c r="B118" s="134" t="s">
        <v>353</v>
      </c>
      <c r="C118" s="134" t="s">
        <v>14</v>
      </c>
      <c r="D118" s="134" t="s">
        <v>354</v>
      </c>
      <c r="E118" s="149" t="e">
        <f>(#REF!/#REF!)*100</f>
        <v>#REF!</v>
      </c>
      <c r="F118" s="148" t="e">
        <f>(#REF!/#REF!)*100</f>
        <v>#REF!</v>
      </c>
      <c r="G118" s="148" t="e">
        <f>(#REF!/#REF!)*100</f>
        <v>#REF!</v>
      </c>
      <c r="H118" s="148" t="e">
        <f>(#REF!/#REF!)*100</f>
        <v>#REF!</v>
      </c>
      <c r="I118" s="149" t="e">
        <f>(#REF!/#REF!)*100</f>
        <v>#REF!</v>
      </c>
      <c r="J118" s="149" t="e">
        <f>(#REF!/#REF!)*100</f>
        <v>#REF!</v>
      </c>
      <c r="K118" s="149" t="e">
        <f>(#REF!/#REF!)*100</f>
        <v>#REF!</v>
      </c>
      <c r="L118" s="149" t="e">
        <f>(#REF!/#REF!)*100</f>
        <v>#REF!</v>
      </c>
      <c r="M118" s="149" t="e">
        <f>(#REF!/#REF!)*100</f>
        <v>#REF!</v>
      </c>
      <c r="N118" s="149" t="e">
        <f>(#REF!/#REF!)*100</f>
        <v>#REF!</v>
      </c>
      <c r="O118" s="149" t="e">
        <f>(#REF!/#REF!)*100</f>
        <v>#REF!</v>
      </c>
      <c r="P118" s="149" t="e">
        <f>(#REF!/#REF!)*100</f>
        <v>#REF!</v>
      </c>
      <c r="Q118" s="149" t="e">
        <f>(#REF!/#REF!)*100</f>
        <v>#REF!</v>
      </c>
      <c r="R118" s="148"/>
      <c r="S118" s="673"/>
    </row>
    <row r="119" spans="1:19" ht="70.5" customHeight="1" thickBot="1">
      <c r="A119" s="138" t="s">
        <v>355</v>
      </c>
      <c r="B119" s="134" t="s">
        <v>356</v>
      </c>
      <c r="C119" s="134" t="s">
        <v>14</v>
      </c>
      <c r="D119" s="134" t="s">
        <v>357</v>
      </c>
      <c r="E119" s="149" t="e">
        <f>(#REF!/#REF!)*100</f>
        <v>#REF!</v>
      </c>
      <c r="F119" s="149" t="e">
        <f>(#REF!/#REF!)*100</f>
        <v>#REF!</v>
      </c>
      <c r="G119" s="149" t="e">
        <f>(#REF!/#REF!)*100</f>
        <v>#REF!</v>
      </c>
      <c r="H119" s="149" t="e">
        <f>(#REF!/#REF!)*100</f>
        <v>#REF!</v>
      </c>
      <c r="I119" s="149" t="e">
        <f>(#REF!/#REF!)*100</f>
        <v>#REF!</v>
      </c>
      <c r="J119" s="149" t="e">
        <f>(#REF!/#REF!)*100</f>
        <v>#REF!</v>
      </c>
      <c r="K119" s="149" t="e">
        <f>(#REF!/#REF!)*100</f>
        <v>#REF!</v>
      </c>
      <c r="L119" s="149" t="e">
        <f>(#REF!/#REF!)*100</f>
        <v>#REF!</v>
      </c>
      <c r="M119" s="149" t="e">
        <f>(#REF!/#REF!)*100</f>
        <v>#REF!</v>
      </c>
      <c r="N119" s="149" t="e">
        <f>(#REF!/#REF!)*100</f>
        <v>#REF!</v>
      </c>
      <c r="O119" s="149" t="e">
        <f>(#REF!/#REF!)*100</f>
        <v>#REF!</v>
      </c>
      <c r="P119" s="149" t="e">
        <f>(#REF!/#REF!)*100</f>
        <v>#REF!</v>
      </c>
      <c r="Q119" s="149" t="e">
        <f>(#REF!/#REF!)*100</f>
        <v>#REF!</v>
      </c>
      <c r="R119" s="148"/>
      <c r="S119" s="673"/>
    </row>
    <row r="120" spans="1:19" ht="84" customHeight="1" thickBot="1">
      <c r="A120" s="138" t="s">
        <v>358</v>
      </c>
      <c r="B120" s="134" t="s">
        <v>359</v>
      </c>
      <c r="C120" s="134" t="s">
        <v>14</v>
      </c>
      <c r="D120" s="134" t="s">
        <v>360</v>
      </c>
      <c r="E120" s="149" t="e">
        <f>(#REF!/#REF!)*100</f>
        <v>#REF!</v>
      </c>
      <c r="F120" s="149" t="e">
        <f>(#REF!/#REF!)*100</f>
        <v>#REF!</v>
      </c>
      <c r="G120" s="149" t="e">
        <f>(#REF!/#REF!)*100</f>
        <v>#REF!</v>
      </c>
      <c r="H120" s="149" t="e">
        <f>(#REF!/#REF!)*100</f>
        <v>#REF!</v>
      </c>
      <c r="I120" s="149" t="e">
        <f>(#REF!/#REF!)*100</f>
        <v>#REF!</v>
      </c>
      <c r="J120" s="149" t="e">
        <f>(#REF!/#REF!)*100</f>
        <v>#REF!</v>
      </c>
      <c r="K120" s="149" t="e">
        <f>(#REF!/#REF!)*100</f>
        <v>#REF!</v>
      </c>
      <c r="L120" s="149" t="e">
        <f>(#REF!/#REF!)*100</f>
        <v>#REF!</v>
      </c>
      <c r="M120" s="149" t="e">
        <f>(#REF!/#REF!)*100</f>
        <v>#REF!</v>
      </c>
      <c r="N120" s="149" t="e">
        <f>(#REF!/#REF!)*100</f>
        <v>#REF!</v>
      </c>
      <c r="O120" s="149" t="e">
        <f>(#REF!/#REF!)*100</f>
        <v>#REF!</v>
      </c>
      <c r="P120" s="149" t="e">
        <f>(#REF!/#REF!)*100</f>
        <v>#REF!</v>
      </c>
      <c r="Q120" s="149" t="e">
        <f>(#REF!/#REF!)*100</f>
        <v>#REF!</v>
      </c>
      <c r="R120" s="148"/>
      <c r="S120" s="672"/>
    </row>
    <row r="121" spans="1:19" ht="47.25" customHeight="1" thickBot="1">
      <c r="A121" s="668" t="s">
        <v>361</v>
      </c>
      <c r="B121" s="669"/>
      <c r="C121" s="669"/>
      <c r="D121" s="669"/>
      <c r="E121" s="669"/>
      <c r="F121" s="669"/>
      <c r="G121" s="669"/>
      <c r="H121" s="669"/>
      <c r="I121" s="669"/>
      <c r="J121" s="669"/>
      <c r="K121" s="669"/>
      <c r="L121" s="669"/>
      <c r="M121" s="669"/>
      <c r="N121" s="669"/>
      <c r="O121" s="669"/>
      <c r="P121" s="669"/>
      <c r="Q121" s="669"/>
      <c r="R121" s="669"/>
      <c r="S121" s="670"/>
    </row>
    <row r="122" spans="1:19" ht="244.5" customHeight="1" thickBot="1">
      <c r="A122" s="138" t="s">
        <v>362</v>
      </c>
      <c r="B122" s="134" t="s">
        <v>363</v>
      </c>
      <c r="C122" s="134" t="s">
        <v>14</v>
      </c>
      <c r="D122" s="134" t="s">
        <v>364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/>
      <c r="S122" s="671" t="s">
        <v>365</v>
      </c>
    </row>
    <row r="123" spans="1:19" ht="297" customHeight="1" thickBot="1">
      <c r="A123" s="138" t="s">
        <v>366</v>
      </c>
      <c r="B123" s="134" t="s">
        <v>367</v>
      </c>
      <c r="C123" s="134" t="s">
        <v>14</v>
      </c>
      <c r="D123" s="134" t="s">
        <v>376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/>
      <c r="S123" s="672"/>
    </row>
  </sheetData>
  <sheetProtection password="CF6E" sheet="1" objects="1" scenarios="1" selectLockedCells="1" selectUnlockedCells="1"/>
  <mergeCells count="13">
    <mergeCell ref="S122:S123"/>
    <mergeCell ref="A57:S57"/>
    <mergeCell ref="A114:S114"/>
    <mergeCell ref="S115:S120"/>
    <mergeCell ref="A121:S121"/>
    <mergeCell ref="A15:S15"/>
    <mergeCell ref="A24:S24"/>
    <mergeCell ref="A3:A4"/>
    <mergeCell ref="B3:B4"/>
    <mergeCell ref="C3:C4"/>
    <mergeCell ref="E3:R3"/>
    <mergeCell ref="S3:S4"/>
    <mergeCell ref="A6:S6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54"/>
  <sheetViews>
    <sheetView tabSelected="1" zoomScale="90" zoomScaleNormal="90" zoomScalePageLayoutView="0" workbookViewId="0" topLeftCell="D1">
      <selection activeCell="D1" sqref="D1:R1"/>
    </sheetView>
  </sheetViews>
  <sheetFormatPr defaultColWidth="9.140625" defaultRowHeight="12.75"/>
  <cols>
    <col min="1" max="1" width="0" style="256" hidden="1" customWidth="1"/>
    <col min="2" max="2" width="12.57421875" style="256" hidden="1" customWidth="1"/>
    <col min="3" max="3" width="15.140625" style="256" hidden="1" customWidth="1"/>
    <col min="4" max="4" width="4.57421875" style="464" customWidth="1"/>
    <col min="5" max="5" width="49.28125" style="256" customWidth="1"/>
    <col min="6" max="6" width="9.57421875" style="460" customWidth="1"/>
    <col min="7" max="7" width="11.7109375" style="461" customWidth="1"/>
    <col min="8" max="8" width="10.8515625" style="461" customWidth="1"/>
    <col min="9" max="9" width="12.140625" style="461" customWidth="1"/>
    <col min="10" max="10" width="8.00390625" style="256" customWidth="1"/>
    <col min="11" max="11" width="12.57421875" style="256" hidden="1" customWidth="1"/>
    <col min="12" max="15" width="0" style="256" hidden="1" customWidth="1"/>
    <col min="16" max="16" width="9.8515625" style="256" customWidth="1"/>
    <col min="17" max="17" width="10.8515625" style="256" customWidth="1"/>
    <col min="18" max="18" width="27.421875" style="256" customWidth="1"/>
    <col min="19" max="16384" width="9.140625" style="256" customWidth="1"/>
  </cols>
  <sheetData>
    <row r="1" spans="4:18" ht="54" customHeight="1">
      <c r="D1" s="707" t="s">
        <v>831</v>
      </c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</row>
    <row r="2" spans="4:18" ht="0.75" customHeight="1" hidden="1">
      <c r="D2" s="467"/>
      <c r="E2" s="468"/>
      <c r="F2" s="469"/>
      <c r="G2" s="470"/>
      <c r="H2" s="470"/>
      <c r="I2" s="470"/>
      <c r="J2" s="471"/>
      <c r="K2" s="468"/>
      <c r="L2" s="468"/>
      <c r="M2" s="468"/>
      <c r="N2" s="468"/>
      <c r="O2" s="468"/>
      <c r="P2" s="468"/>
      <c r="Q2" s="468"/>
      <c r="R2" s="468"/>
    </row>
    <row r="3" spans="4:18" ht="26.25" customHeight="1">
      <c r="D3" s="689" t="s">
        <v>589</v>
      </c>
      <c r="E3" s="689" t="s">
        <v>6</v>
      </c>
      <c r="F3" s="689" t="s">
        <v>7</v>
      </c>
      <c r="G3" s="689" t="s">
        <v>591</v>
      </c>
      <c r="H3" s="689"/>
      <c r="I3" s="709" t="s">
        <v>660</v>
      </c>
      <c r="J3" s="689" t="s">
        <v>612</v>
      </c>
      <c r="K3" s="473"/>
      <c r="L3" s="473"/>
      <c r="M3" s="474"/>
      <c r="N3" s="474"/>
      <c r="O3" s="475"/>
      <c r="P3" s="701" t="s">
        <v>594</v>
      </c>
      <c r="Q3" s="701" t="s">
        <v>592</v>
      </c>
      <c r="R3" s="702" t="s">
        <v>595</v>
      </c>
    </row>
    <row r="4" spans="4:18" ht="60" customHeight="1">
      <c r="D4" s="689"/>
      <c r="E4" s="689"/>
      <c r="F4" s="689"/>
      <c r="G4" s="472" t="s">
        <v>588</v>
      </c>
      <c r="H4" s="472" t="s">
        <v>593</v>
      </c>
      <c r="I4" s="710"/>
      <c r="J4" s="689"/>
      <c r="K4" s="473"/>
      <c r="L4" s="473"/>
      <c r="M4" s="474"/>
      <c r="N4" s="474"/>
      <c r="O4" s="475"/>
      <c r="P4" s="701"/>
      <c r="Q4" s="701"/>
      <c r="R4" s="703"/>
    </row>
    <row r="5" spans="4:18" ht="15">
      <c r="D5" s="472">
        <v>1</v>
      </c>
      <c r="E5" s="472">
        <v>2</v>
      </c>
      <c r="F5" s="472">
        <v>3</v>
      </c>
      <c r="G5" s="472">
        <v>4</v>
      </c>
      <c r="H5" s="472">
        <v>5</v>
      </c>
      <c r="I5" s="472">
        <v>6</v>
      </c>
      <c r="J5" s="472">
        <v>7</v>
      </c>
      <c r="K5" s="473"/>
      <c r="L5" s="473"/>
      <c r="M5" s="474"/>
      <c r="N5" s="474"/>
      <c r="O5" s="474"/>
      <c r="P5" s="476">
        <v>8</v>
      </c>
      <c r="Q5" s="477">
        <v>9</v>
      </c>
      <c r="R5" s="478">
        <v>10</v>
      </c>
    </row>
    <row r="6" spans="4:21" ht="48" customHeight="1">
      <c r="D6" s="779" t="s">
        <v>726</v>
      </c>
      <c r="E6" s="780"/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0"/>
      <c r="Q6" s="780"/>
      <c r="R6" s="780"/>
      <c r="U6" s="632">
        <v>1</v>
      </c>
    </row>
    <row r="7" spans="4:18" ht="42.75" customHeight="1">
      <c r="D7" s="698" t="s">
        <v>667</v>
      </c>
      <c r="E7" s="699"/>
      <c r="F7" s="699"/>
      <c r="G7" s="699"/>
      <c r="H7" s="699"/>
      <c r="I7" s="699"/>
      <c r="J7" s="699"/>
      <c r="K7" s="699"/>
      <c r="L7" s="699"/>
      <c r="M7" s="699"/>
      <c r="N7" s="699"/>
      <c r="O7" s="699"/>
      <c r="P7" s="699"/>
      <c r="Q7" s="699"/>
      <c r="R7" s="700"/>
    </row>
    <row r="8" spans="4:18" ht="60" customHeight="1" thickBot="1">
      <c r="D8" s="698" t="s">
        <v>668</v>
      </c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700"/>
    </row>
    <row r="9" spans="1:18" ht="82.5" customHeight="1" thickBot="1">
      <c r="A9" s="257"/>
      <c r="B9" s="17" t="s">
        <v>15</v>
      </c>
      <c r="C9" s="232" t="s">
        <v>368</v>
      </c>
      <c r="D9" s="479">
        <v>1</v>
      </c>
      <c r="E9" s="480" t="s">
        <v>669</v>
      </c>
      <c r="F9" s="558" t="s">
        <v>14</v>
      </c>
      <c r="G9" s="560">
        <v>100</v>
      </c>
      <c r="H9" s="560">
        <v>100</v>
      </c>
      <c r="I9" s="560"/>
      <c r="J9" s="483"/>
      <c r="K9" s="484"/>
      <c r="L9" s="484"/>
      <c r="M9" s="485"/>
      <c r="N9" s="485"/>
      <c r="O9" s="485"/>
      <c r="P9" s="486"/>
      <c r="Q9" s="485"/>
      <c r="R9" s="485"/>
    </row>
    <row r="10" spans="1:18" ht="79.5" customHeight="1" thickBot="1">
      <c r="A10" s="257"/>
      <c r="B10" s="17"/>
      <c r="C10" s="232"/>
      <c r="D10" s="479">
        <v>2</v>
      </c>
      <c r="E10" s="480" t="s">
        <v>670</v>
      </c>
      <c r="F10" s="558" t="s">
        <v>14</v>
      </c>
      <c r="G10" s="560">
        <v>48.5</v>
      </c>
      <c r="H10" s="566">
        <v>49.9</v>
      </c>
      <c r="I10" s="561"/>
      <c r="J10" s="483"/>
      <c r="K10" s="484"/>
      <c r="L10" s="484"/>
      <c r="M10" s="485"/>
      <c r="N10" s="485"/>
      <c r="O10" s="485"/>
      <c r="P10" s="485"/>
      <c r="Q10" s="485"/>
      <c r="R10" s="485"/>
    </row>
    <row r="11" spans="1:18" ht="84" customHeight="1" thickBot="1">
      <c r="A11" s="257"/>
      <c r="B11" s="224" t="s">
        <v>19</v>
      </c>
      <c r="C11" s="232" t="s">
        <v>369</v>
      </c>
      <c r="D11" s="479">
        <v>3</v>
      </c>
      <c r="E11" s="480" t="s">
        <v>671</v>
      </c>
      <c r="F11" s="558" t="s">
        <v>14</v>
      </c>
      <c r="G11" s="561">
        <v>95.5</v>
      </c>
      <c r="H11" s="561">
        <v>88</v>
      </c>
      <c r="I11" s="561"/>
      <c r="J11" s="483"/>
      <c r="K11" s="484"/>
      <c r="L11" s="484"/>
      <c r="M11" s="485"/>
      <c r="N11" s="485"/>
      <c r="O11" s="485"/>
      <c r="P11" s="485"/>
      <c r="Q11" s="485"/>
      <c r="R11" s="485"/>
    </row>
    <row r="12" spans="1:18" ht="78" customHeight="1" thickBot="1">
      <c r="A12" s="257"/>
      <c r="B12" s="224" t="s">
        <v>27</v>
      </c>
      <c r="C12" s="232" t="s">
        <v>370</v>
      </c>
      <c r="D12" s="479">
        <v>4</v>
      </c>
      <c r="E12" s="480" t="s">
        <v>672</v>
      </c>
      <c r="F12" s="558" t="s">
        <v>14</v>
      </c>
      <c r="G12" s="561">
        <v>86.3</v>
      </c>
      <c r="H12" s="561">
        <v>90.7</v>
      </c>
      <c r="I12" s="561"/>
      <c r="J12" s="483"/>
      <c r="K12" s="484"/>
      <c r="L12" s="484"/>
      <c r="M12" s="485"/>
      <c r="N12" s="485"/>
      <c r="O12" s="485"/>
      <c r="P12" s="485"/>
      <c r="Q12" s="485"/>
      <c r="R12" s="485"/>
    </row>
    <row r="13" spans="1:18" ht="23.25" customHeight="1" thickBot="1">
      <c r="A13" s="257"/>
      <c r="B13" s="224"/>
      <c r="C13" s="232"/>
      <c r="D13" s="479"/>
      <c r="E13" s="559" t="s">
        <v>673</v>
      </c>
      <c r="F13" s="558"/>
      <c r="G13" s="555"/>
      <c r="H13" s="555"/>
      <c r="I13" s="557"/>
      <c r="J13" s="556"/>
      <c r="K13" s="484"/>
      <c r="L13" s="484"/>
      <c r="M13" s="485"/>
      <c r="N13" s="485"/>
      <c r="O13" s="485"/>
      <c r="P13" s="485"/>
      <c r="Q13" s="485"/>
      <c r="R13" s="485"/>
    </row>
    <row r="14" spans="1:18" ht="51" customHeight="1" thickBot="1">
      <c r="A14" s="257"/>
      <c r="B14" s="224"/>
      <c r="C14" s="232"/>
      <c r="D14" s="479" t="s">
        <v>609</v>
      </c>
      <c r="E14" s="480" t="s">
        <v>674</v>
      </c>
      <c r="F14" s="560" t="s">
        <v>678</v>
      </c>
      <c r="G14" s="560">
        <v>16</v>
      </c>
      <c r="H14" s="566">
        <v>14.7</v>
      </c>
      <c r="I14" s="557"/>
      <c r="J14" s="556"/>
      <c r="K14" s="484"/>
      <c r="L14" s="484"/>
      <c r="M14" s="485"/>
      <c r="N14" s="485"/>
      <c r="O14" s="485"/>
      <c r="P14" s="485"/>
      <c r="Q14" s="485"/>
      <c r="R14" s="485"/>
    </row>
    <row r="15" spans="1:18" ht="47.25" customHeight="1" thickBot="1">
      <c r="A15" s="257"/>
      <c r="B15" s="224"/>
      <c r="C15" s="232"/>
      <c r="D15" s="479" t="s">
        <v>614</v>
      </c>
      <c r="E15" s="480" t="s">
        <v>675</v>
      </c>
      <c r="F15" s="561" t="s">
        <v>679</v>
      </c>
      <c r="G15" s="561">
        <v>0.114</v>
      </c>
      <c r="H15" s="588">
        <v>0.1137</v>
      </c>
      <c r="I15" s="557"/>
      <c r="J15" s="556"/>
      <c r="K15" s="484"/>
      <c r="L15" s="484"/>
      <c r="M15" s="485"/>
      <c r="N15" s="485"/>
      <c r="O15" s="485"/>
      <c r="P15" s="485"/>
      <c r="Q15" s="485"/>
      <c r="R15" s="485"/>
    </row>
    <row r="16" spans="1:18" ht="47.25" customHeight="1" thickBot="1">
      <c r="A16" s="257"/>
      <c r="B16" s="224"/>
      <c r="C16" s="232"/>
      <c r="D16" s="479" t="s">
        <v>676</v>
      </c>
      <c r="E16" s="480" t="s">
        <v>677</v>
      </c>
      <c r="F16" s="561" t="s">
        <v>680</v>
      </c>
      <c r="G16" s="561">
        <v>19</v>
      </c>
      <c r="H16" s="642">
        <v>17.725</v>
      </c>
      <c r="I16" s="557"/>
      <c r="J16" s="556"/>
      <c r="K16" s="484"/>
      <c r="L16" s="484"/>
      <c r="M16" s="485"/>
      <c r="N16" s="485"/>
      <c r="O16" s="485"/>
      <c r="P16" s="485"/>
      <c r="Q16" s="485"/>
      <c r="R16" s="485"/>
    </row>
    <row r="17" spans="1:18" ht="20.25" customHeight="1" thickBot="1">
      <c r="A17" s="257"/>
      <c r="B17" s="224"/>
      <c r="C17" s="232"/>
      <c r="D17" s="479"/>
      <c r="E17" s="559" t="s">
        <v>681</v>
      </c>
      <c r="F17" s="558"/>
      <c r="G17" s="555"/>
      <c r="H17" s="555"/>
      <c r="I17" s="557"/>
      <c r="J17" s="556"/>
      <c r="K17" s="484"/>
      <c r="L17" s="484"/>
      <c r="M17" s="485"/>
      <c r="N17" s="485"/>
      <c r="O17" s="485"/>
      <c r="P17" s="485"/>
      <c r="Q17" s="485"/>
      <c r="R17" s="485"/>
    </row>
    <row r="18" spans="1:18" ht="51.75" customHeight="1" thickBot="1">
      <c r="A18" s="257"/>
      <c r="B18" s="224"/>
      <c r="C18" s="232"/>
      <c r="D18" s="479" t="s">
        <v>609</v>
      </c>
      <c r="E18" s="563" t="s">
        <v>682</v>
      </c>
      <c r="F18" s="560" t="s">
        <v>679</v>
      </c>
      <c r="G18" s="560">
        <v>0.13</v>
      </c>
      <c r="H18" s="566">
        <v>0.129</v>
      </c>
      <c r="I18" s="557"/>
      <c r="J18" s="556"/>
      <c r="K18" s="484"/>
      <c r="L18" s="484"/>
      <c r="M18" s="485"/>
      <c r="N18" s="485"/>
      <c r="O18" s="485"/>
      <c r="P18" s="485"/>
      <c r="Q18" s="485"/>
      <c r="R18" s="485"/>
    </row>
    <row r="19" spans="1:18" ht="53.25" customHeight="1" thickBot="1">
      <c r="A19" s="257"/>
      <c r="B19" s="224"/>
      <c r="C19" s="232"/>
      <c r="D19" s="479" t="s">
        <v>614</v>
      </c>
      <c r="E19" s="221" t="s">
        <v>683</v>
      </c>
      <c r="F19" s="564" t="s">
        <v>678</v>
      </c>
      <c r="G19" s="560">
        <v>22.5</v>
      </c>
      <c r="H19" s="566">
        <v>20.475</v>
      </c>
      <c r="I19" s="557"/>
      <c r="J19" s="556"/>
      <c r="K19" s="484"/>
      <c r="L19" s="484"/>
      <c r="M19" s="485"/>
      <c r="N19" s="485"/>
      <c r="O19" s="485"/>
      <c r="P19" s="485"/>
      <c r="Q19" s="485"/>
      <c r="R19" s="485"/>
    </row>
    <row r="20" spans="1:18" ht="33.75" customHeight="1" thickBot="1">
      <c r="A20" s="257"/>
      <c r="B20" s="224"/>
      <c r="C20" s="232"/>
      <c r="D20" s="479"/>
      <c r="E20" s="592" t="s">
        <v>684</v>
      </c>
      <c r="F20" s="565"/>
      <c r="G20" s="555"/>
      <c r="H20" s="555"/>
      <c r="I20" s="557"/>
      <c r="J20" s="556"/>
      <c r="K20" s="484"/>
      <c r="L20" s="484"/>
      <c r="M20" s="485"/>
      <c r="N20" s="485"/>
      <c r="O20" s="485"/>
      <c r="P20" s="485"/>
      <c r="Q20" s="485"/>
      <c r="R20" s="485"/>
    </row>
    <row r="21" spans="1:18" ht="53.25" customHeight="1" thickBot="1">
      <c r="A21" s="257"/>
      <c r="B21" s="224"/>
      <c r="C21" s="232"/>
      <c r="D21" s="479" t="s">
        <v>609</v>
      </c>
      <c r="E21" s="221" t="s">
        <v>685</v>
      </c>
      <c r="F21" s="562" t="s">
        <v>686</v>
      </c>
      <c r="G21" s="560">
        <v>1.44</v>
      </c>
      <c r="H21" s="566">
        <v>1.439</v>
      </c>
      <c r="I21" s="557"/>
      <c r="J21" s="556"/>
      <c r="K21" s="484"/>
      <c r="L21" s="484"/>
      <c r="M21" s="485"/>
      <c r="N21" s="485"/>
      <c r="O21" s="485"/>
      <c r="P21" s="485"/>
      <c r="Q21" s="485"/>
      <c r="R21" s="485"/>
    </row>
    <row r="22" spans="1:18" ht="21.75" customHeight="1" thickBot="1">
      <c r="A22" s="257"/>
      <c r="B22" s="224"/>
      <c r="C22" s="232"/>
      <c r="D22" s="487"/>
      <c r="E22" s="488" t="s">
        <v>611</v>
      </c>
      <c r="F22" s="489"/>
      <c r="G22" s="482"/>
      <c r="H22" s="482"/>
      <c r="I22" s="490">
        <v>90</v>
      </c>
      <c r="J22" s="491">
        <v>2</v>
      </c>
      <c r="K22" s="484"/>
      <c r="L22" s="484"/>
      <c r="M22" s="485"/>
      <c r="N22" s="485"/>
      <c r="O22" s="485"/>
      <c r="P22" s="485"/>
      <c r="Q22" s="485"/>
      <c r="R22" s="485"/>
    </row>
    <row r="23" spans="1:18" ht="27.75" customHeight="1" thickBot="1">
      <c r="A23" s="257"/>
      <c r="B23" s="224"/>
      <c r="C23" s="232"/>
      <c r="D23" s="487"/>
      <c r="E23" s="488" t="s">
        <v>610</v>
      </c>
      <c r="F23" s="489"/>
      <c r="G23" s="482"/>
      <c r="H23" s="482"/>
      <c r="I23" s="490">
        <v>73.9</v>
      </c>
      <c r="J23" s="491">
        <v>1</v>
      </c>
      <c r="K23" s="484"/>
      <c r="L23" s="484"/>
      <c r="M23" s="485"/>
      <c r="N23" s="485"/>
      <c r="O23" s="485"/>
      <c r="P23" s="485"/>
      <c r="Q23" s="485"/>
      <c r="R23" s="485"/>
    </row>
    <row r="24" spans="1:18" ht="66.75" customHeight="1" thickBot="1">
      <c r="A24" s="257"/>
      <c r="B24" s="224" t="s">
        <v>78</v>
      </c>
      <c r="C24" s="232" t="s">
        <v>372</v>
      </c>
      <c r="D24" s="497"/>
      <c r="E24" s="633" t="s">
        <v>590</v>
      </c>
      <c r="F24" s="498"/>
      <c r="G24" s="484"/>
      <c r="H24" s="484"/>
      <c r="I24" s="484"/>
      <c r="J24" s="491" t="s">
        <v>687</v>
      </c>
      <c r="K24" s="492"/>
      <c r="L24" s="492"/>
      <c r="M24" s="493"/>
      <c r="N24" s="493"/>
      <c r="O24" s="493"/>
      <c r="P24" s="499" t="s">
        <v>688</v>
      </c>
      <c r="Q24" s="567" t="s">
        <v>689</v>
      </c>
      <c r="R24" s="491" t="s">
        <v>629</v>
      </c>
    </row>
    <row r="25" spans="4:21" ht="45.75" customHeight="1">
      <c r="D25" s="781" t="s">
        <v>813</v>
      </c>
      <c r="E25" s="782"/>
      <c r="F25" s="782"/>
      <c r="G25" s="782"/>
      <c r="H25" s="782"/>
      <c r="I25" s="782"/>
      <c r="J25" s="782"/>
      <c r="K25" s="782"/>
      <c r="L25" s="782"/>
      <c r="M25" s="782"/>
      <c r="N25" s="782"/>
      <c r="O25" s="782"/>
      <c r="P25" s="782"/>
      <c r="Q25" s="782"/>
      <c r="R25" s="782"/>
      <c r="U25" s="632">
        <v>2</v>
      </c>
    </row>
    <row r="26" spans="4:18" ht="36" customHeight="1">
      <c r="D26" s="704" t="s">
        <v>727</v>
      </c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705"/>
      <c r="R26" s="706"/>
    </row>
    <row r="27" spans="4:18" ht="50.25" customHeight="1">
      <c r="D27" s="704" t="s">
        <v>728</v>
      </c>
      <c r="E27" s="705"/>
      <c r="F27" s="705"/>
      <c r="G27" s="705"/>
      <c r="H27" s="705"/>
      <c r="I27" s="705"/>
      <c r="J27" s="705"/>
      <c r="K27" s="705"/>
      <c r="L27" s="705"/>
      <c r="M27" s="705"/>
      <c r="N27" s="705"/>
      <c r="O27" s="705"/>
      <c r="P27" s="705"/>
      <c r="Q27" s="705"/>
      <c r="R27" s="706"/>
    </row>
    <row r="28" spans="4:18" ht="31.5">
      <c r="D28" s="500"/>
      <c r="E28" s="501" t="s">
        <v>729</v>
      </c>
      <c r="F28" s="502"/>
      <c r="G28" s="492"/>
      <c r="H28" s="492"/>
      <c r="I28" s="484"/>
      <c r="J28" s="491"/>
      <c r="K28" s="485"/>
      <c r="L28" s="485"/>
      <c r="M28" s="485"/>
      <c r="N28" s="485"/>
      <c r="O28" s="485"/>
      <c r="P28" s="485"/>
      <c r="Q28" s="485"/>
      <c r="R28" s="485"/>
    </row>
    <row r="29" spans="4:18" ht="31.5">
      <c r="D29" s="503" t="s">
        <v>609</v>
      </c>
      <c r="E29" s="480" t="s">
        <v>730</v>
      </c>
      <c r="F29" s="555" t="s">
        <v>14</v>
      </c>
      <c r="G29" s="555">
        <v>100</v>
      </c>
      <c r="H29" s="555">
        <v>100</v>
      </c>
      <c r="I29" s="504"/>
      <c r="J29" s="485"/>
      <c r="K29" s="485"/>
      <c r="L29" s="485"/>
      <c r="M29" s="485"/>
      <c r="N29" s="485"/>
      <c r="O29" s="485"/>
      <c r="P29" s="485"/>
      <c r="Q29" s="485"/>
      <c r="R29" s="485"/>
    </row>
    <row r="30" spans="4:18" ht="47.25">
      <c r="D30" s="503" t="s">
        <v>614</v>
      </c>
      <c r="E30" s="480" t="s">
        <v>613</v>
      </c>
      <c r="F30" s="555" t="s">
        <v>14</v>
      </c>
      <c r="G30" s="555">
        <v>100</v>
      </c>
      <c r="H30" s="555">
        <v>100</v>
      </c>
      <c r="I30" s="504"/>
      <c r="J30" s="485"/>
      <c r="K30" s="485"/>
      <c r="L30" s="485"/>
      <c r="M30" s="485"/>
      <c r="N30" s="485"/>
      <c r="O30" s="485"/>
      <c r="P30" s="485"/>
      <c r="Q30" s="485"/>
      <c r="R30" s="485"/>
    </row>
    <row r="31" spans="4:18" ht="15.75">
      <c r="D31" s="500"/>
      <c r="E31" s="488" t="s">
        <v>611</v>
      </c>
      <c r="F31" s="489"/>
      <c r="G31" s="481"/>
      <c r="H31" s="481"/>
      <c r="I31" s="491">
        <v>100</v>
      </c>
      <c r="J31" s="491">
        <v>3</v>
      </c>
      <c r="K31" s="485"/>
      <c r="L31" s="485"/>
      <c r="M31" s="485"/>
      <c r="N31" s="485"/>
      <c r="O31" s="485"/>
      <c r="P31" s="485"/>
      <c r="Q31" s="485"/>
      <c r="R31" s="485"/>
    </row>
    <row r="32" spans="4:18" ht="28.5">
      <c r="D32" s="500"/>
      <c r="E32" s="488" t="s">
        <v>610</v>
      </c>
      <c r="F32" s="489"/>
      <c r="G32" s="481"/>
      <c r="H32" s="481"/>
      <c r="I32" s="491">
        <v>99.3</v>
      </c>
      <c r="J32" s="491">
        <v>0</v>
      </c>
      <c r="K32" s="485"/>
      <c r="L32" s="485"/>
      <c r="M32" s="485"/>
      <c r="N32" s="485"/>
      <c r="O32" s="485"/>
      <c r="P32" s="485"/>
      <c r="Q32" s="485"/>
      <c r="R32" s="485"/>
    </row>
    <row r="33" spans="4:18" ht="27.75" customHeight="1">
      <c r="D33" s="500"/>
      <c r="E33" s="690" t="s">
        <v>731</v>
      </c>
      <c r="F33" s="691"/>
      <c r="G33" s="691"/>
      <c r="H33" s="691"/>
      <c r="I33" s="691"/>
      <c r="J33" s="691"/>
      <c r="K33" s="691"/>
      <c r="L33" s="691"/>
      <c r="M33" s="691"/>
      <c r="N33" s="691"/>
      <c r="O33" s="691"/>
      <c r="P33" s="691"/>
      <c r="Q33" s="691"/>
      <c r="R33" s="692"/>
    </row>
    <row r="34" spans="4:18" ht="54" customHeight="1" thickBot="1">
      <c r="D34" s="500"/>
      <c r="E34" s="690" t="s">
        <v>732</v>
      </c>
      <c r="F34" s="708"/>
      <c r="G34" s="708"/>
      <c r="H34" s="708"/>
      <c r="I34" s="691"/>
      <c r="J34" s="691"/>
      <c r="K34" s="691"/>
      <c r="L34" s="691"/>
      <c r="M34" s="691"/>
      <c r="N34" s="691"/>
      <c r="O34" s="691"/>
      <c r="P34" s="691"/>
      <c r="Q34" s="691"/>
      <c r="R34" s="692"/>
    </row>
    <row r="35" spans="4:18" ht="31.5" customHeight="1" thickBot="1">
      <c r="D35" s="505">
        <v>1</v>
      </c>
      <c r="E35" s="591" t="s">
        <v>615</v>
      </c>
      <c r="F35" s="481" t="s">
        <v>14</v>
      </c>
      <c r="G35" s="560">
        <v>100</v>
      </c>
      <c r="H35" s="566">
        <v>100</v>
      </c>
      <c r="I35" s="506"/>
      <c r="J35" s="507"/>
      <c r="K35" s="507"/>
      <c r="L35" s="507"/>
      <c r="M35" s="507"/>
      <c r="N35" s="507"/>
      <c r="O35" s="507"/>
      <c r="P35" s="507"/>
      <c r="Q35" s="507"/>
      <c r="R35" s="507"/>
    </row>
    <row r="36" spans="4:18" ht="95.25" customHeight="1" thickBot="1">
      <c r="D36" s="505">
        <v>2</v>
      </c>
      <c r="E36" s="590" t="s">
        <v>832</v>
      </c>
      <c r="F36" s="481" t="s">
        <v>14</v>
      </c>
      <c r="G36" s="561">
        <v>100</v>
      </c>
      <c r="H36" s="588">
        <v>100</v>
      </c>
      <c r="I36" s="506"/>
      <c r="J36" s="507"/>
      <c r="K36" s="507"/>
      <c r="L36" s="507"/>
      <c r="M36" s="507"/>
      <c r="N36" s="507"/>
      <c r="O36" s="507"/>
      <c r="P36" s="507"/>
      <c r="Q36" s="507"/>
      <c r="R36" s="507"/>
    </row>
    <row r="37" spans="4:18" ht="21" customHeight="1">
      <c r="D37" s="505"/>
      <c r="E37" s="488" t="s">
        <v>611</v>
      </c>
      <c r="F37" s="508"/>
      <c r="G37" s="509"/>
      <c r="H37" s="509"/>
      <c r="I37" s="491">
        <v>100</v>
      </c>
      <c r="J37" s="491">
        <v>3</v>
      </c>
      <c r="K37" s="507"/>
      <c r="L37" s="507"/>
      <c r="M37" s="507"/>
      <c r="N37" s="507"/>
      <c r="O37" s="507"/>
      <c r="P37" s="507"/>
      <c r="Q37" s="507"/>
      <c r="R37" s="507"/>
    </row>
    <row r="38" spans="4:18" ht="30" customHeight="1">
      <c r="D38" s="505"/>
      <c r="E38" s="488" t="s">
        <v>610</v>
      </c>
      <c r="F38" s="489"/>
      <c r="G38" s="481"/>
      <c r="H38" s="481"/>
      <c r="I38" s="491">
        <v>97</v>
      </c>
      <c r="J38" s="491">
        <v>0</v>
      </c>
      <c r="K38" s="507"/>
      <c r="L38" s="507"/>
      <c r="M38" s="507"/>
      <c r="N38" s="507"/>
      <c r="O38" s="507"/>
      <c r="P38" s="507"/>
      <c r="Q38" s="507"/>
      <c r="R38" s="507"/>
    </row>
    <row r="39" spans="4:18" ht="30" customHeight="1">
      <c r="D39" s="505"/>
      <c r="E39" s="690" t="s">
        <v>616</v>
      </c>
      <c r="F39" s="691"/>
      <c r="G39" s="691"/>
      <c r="H39" s="691"/>
      <c r="I39" s="691"/>
      <c r="J39" s="691"/>
      <c r="K39" s="691"/>
      <c r="L39" s="691"/>
      <c r="M39" s="691"/>
      <c r="N39" s="691"/>
      <c r="O39" s="691"/>
      <c r="P39" s="691"/>
      <c r="Q39" s="691"/>
      <c r="R39" s="692"/>
    </row>
    <row r="40" spans="4:18" ht="68.25" customHeight="1">
      <c r="D40" s="505"/>
      <c r="E40" s="690" t="s">
        <v>733</v>
      </c>
      <c r="F40" s="691"/>
      <c r="G40" s="691"/>
      <c r="H40" s="691"/>
      <c r="I40" s="691"/>
      <c r="J40" s="691"/>
      <c r="K40" s="691"/>
      <c r="L40" s="691"/>
      <c r="M40" s="691"/>
      <c r="N40" s="691"/>
      <c r="O40" s="691"/>
      <c r="P40" s="691"/>
      <c r="Q40" s="691"/>
      <c r="R40" s="692"/>
    </row>
    <row r="41" spans="4:18" ht="64.5" customHeight="1">
      <c r="D41" s="505"/>
      <c r="E41" s="507" t="s">
        <v>734</v>
      </c>
      <c r="F41" s="507"/>
      <c r="G41" s="507"/>
      <c r="H41" s="507"/>
      <c r="I41" s="507"/>
      <c r="J41" s="507"/>
      <c r="K41" s="507"/>
      <c r="L41" s="507"/>
      <c r="M41" s="507"/>
      <c r="N41" s="507"/>
      <c r="O41" s="507"/>
      <c r="P41" s="507"/>
      <c r="Q41" s="507"/>
      <c r="R41" s="507"/>
    </row>
    <row r="42" spans="4:18" ht="35.25" customHeight="1">
      <c r="D42" s="510">
        <v>1</v>
      </c>
      <c r="E42" s="511" t="s">
        <v>617</v>
      </c>
      <c r="F42" s="509" t="s">
        <v>14</v>
      </c>
      <c r="G42" s="509">
        <v>100</v>
      </c>
      <c r="H42" s="509">
        <v>100</v>
      </c>
      <c r="I42" s="512"/>
      <c r="J42" s="512"/>
      <c r="K42" s="513"/>
      <c r="L42" s="513"/>
      <c r="M42" s="513"/>
      <c r="N42" s="513"/>
      <c r="O42" s="513"/>
      <c r="P42" s="513"/>
      <c r="Q42" s="513"/>
      <c r="R42" s="513"/>
    </row>
    <row r="43" spans="4:18" ht="30" customHeight="1">
      <c r="D43" s="505">
        <v>2</v>
      </c>
      <c r="E43" s="514" t="s">
        <v>618</v>
      </c>
      <c r="F43" s="481" t="s">
        <v>14</v>
      </c>
      <c r="G43" s="481">
        <v>100</v>
      </c>
      <c r="H43" s="481">
        <v>100</v>
      </c>
      <c r="I43" s="491"/>
      <c r="J43" s="491"/>
      <c r="K43" s="507"/>
      <c r="L43" s="507"/>
      <c r="M43" s="507"/>
      <c r="N43" s="507"/>
      <c r="O43" s="507"/>
      <c r="P43" s="507"/>
      <c r="Q43" s="507"/>
      <c r="R43" s="507"/>
    </row>
    <row r="44" spans="4:18" ht="30" customHeight="1">
      <c r="D44" s="505">
        <v>3</v>
      </c>
      <c r="E44" s="514" t="s">
        <v>619</v>
      </c>
      <c r="F44" s="481" t="s">
        <v>14</v>
      </c>
      <c r="G44" s="481">
        <v>100</v>
      </c>
      <c r="H44" s="481">
        <v>100</v>
      </c>
      <c r="I44" s="491"/>
      <c r="J44" s="491"/>
      <c r="K44" s="507"/>
      <c r="L44" s="507"/>
      <c r="M44" s="507"/>
      <c r="N44" s="507"/>
      <c r="O44" s="507"/>
      <c r="P44" s="507"/>
      <c r="Q44" s="507"/>
      <c r="R44" s="507"/>
    </row>
    <row r="45" spans="4:18" ht="23.25" customHeight="1">
      <c r="D45" s="505"/>
      <c r="E45" s="488" t="s">
        <v>611</v>
      </c>
      <c r="F45" s="508"/>
      <c r="G45" s="481"/>
      <c r="H45" s="481"/>
      <c r="I45" s="491">
        <v>100</v>
      </c>
      <c r="J45" s="477">
        <v>3</v>
      </c>
      <c r="K45" s="507"/>
      <c r="L45" s="507"/>
      <c r="M45" s="507"/>
      <c r="N45" s="507"/>
      <c r="O45" s="507"/>
      <c r="P45" s="507"/>
      <c r="Q45" s="507"/>
      <c r="R45" s="507"/>
    </row>
    <row r="46" spans="4:18" ht="30.75" customHeight="1">
      <c r="D46" s="505"/>
      <c r="E46" s="488" t="s">
        <v>610</v>
      </c>
      <c r="F46" s="508"/>
      <c r="G46" s="481"/>
      <c r="H46" s="481"/>
      <c r="I46" s="491">
        <v>99.9</v>
      </c>
      <c r="J46" s="477">
        <v>0</v>
      </c>
      <c r="K46" s="507"/>
      <c r="L46" s="507"/>
      <c r="M46" s="507"/>
      <c r="N46" s="507"/>
      <c r="O46" s="507"/>
      <c r="P46" s="507"/>
      <c r="Q46" s="507"/>
      <c r="R46" s="507"/>
    </row>
    <row r="47" spans="4:18" ht="66" customHeight="1">
      <c r="D47" s="505"/>
      <c r="E47" s="690" t="s">
        <v>620</v>
      </c>
      <c r="F47" s="691"/>
      <c r="G47" s="691"/>
      <c r="H47" s="691"/>
      <c r="I47" s="691"/>
      <c r="J47" s="691"/>
      <c r="K47" s="691"/>
      <c r="L47" s="691"/>
      <c r="M47" s="691"/>
      <c r="N47" s="691"/>
      <c r="O47" s="691"/>
      <c r="P47" s="691"/>
      <c r="Q47" s="691"/>
      <c r="R47" s="692"/>
    </row>
    <row r="48" spans="4:18" ht="57" customHeight="1">
      <c r="D48" s="505"/>
      <c r="E48" s="676" t="s">
        <v>724</v>
      </c>
      <c r="F48" s="687"/>
      <c r="G48" s="687"/>
      <c r="H48" s="687"/>
      <c r="I48" s="687"/>
      <c r="J48" s="687"/>
      <c r="K48" s="687"/>
      <c r="L48" s="687"/>
      <c r="M48" s="687"/>
      <c r="N48" s="687"/>
      <c r="O48" s="687"/>
      <c r="P48" s="687"/>
      <c r="Q48" s="687"/>
      <c r="R48" s="688"/>
    </row>
    <row r="49" spans="4:18" ht="38.25" customHeight="1" thickBot="1">
      <c r="D49" s="505"/>
      <c r="E49" s="507" t="s">
        <v>735</v>
      </c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507"/>
      <c r="R49" s="507"/>
    </row>
    <row r="50" spans="4:18" ht="30" customHeight="1" thickBot="1">
      <c r="D50" s="505">
        <v>1</v>
      </c>
      <c r="E50" s="568" t="s">
        <v>596</v>
      </c>
      <c r="F50" s="482" t="s">
        <v>597</v>
      </c>
      <c r="G50" s="560">
        <v>20</v>
      </c>
      <c r="H50" s="566">
        <v>39.3</v>
      </c>
      <c r="I50" s="491"/>
      <c r="J50" s="491"/>
      <c r="K50" s="507"/>
      <c r="L50" s="507"/>
      <c r="M50" s="507"/>
      <c r="N50" s="507"/>
      <c r="O50" s="507"/>
      <c r="P50" s="507"/>
      <c r="Q50" s="507"/>
      <c r="R50" s="507"/>
    </row>
    <row r="51" spans="4:18" ht="30" customHeight="1" thickBot="1">
      <c r="D51" s="505">
        <v>2</v>
      </c>
      <c r="E51" s="568" t="s">
        <v>621</v>
      </c>
      <c r="F51" s="482" t="s">
        <v>597</v>
      </c>
      <c r="G51" s="561">
        <v>1</v>
      </c>
      <c r="H51" s="588">
        <v>3.6</v>
      </c>
      <c r="I51" s="491"/>
      <c r="J51" s="491"/>
      <c r="K51" s="507"/>
      <c r="L51" s="507"/>
      <c r="M51" s="507"/>
      <c r="N51" s="507"/>
      <c r="O51" s="507"/>
      <c r="P51" s="507"/>
      <c r="Q51" s="507"/>
      <c r="R51" s="507"/>
    </row>
    <row r="52" spans="4:18" ht="52.5" customHeight="1" thickBot="1">
      <c r="D52" s="505">
        <v>3</v>
      </c>
      <c r="E52" s="544" t="s">
        <v>690</v>
      </c>
      <c r="F52" s="481" t="s">
        <v>14</v>
      </c>
      <c r="G52" s="561">
        <v>100</v>
      </c>
      <c r="H52" s="588">
        <v>100</v>
      </c>
      <c r="I52" s="491"/>
      <c r="J52" s="491"/>
      <c r="K52" s="507"/>
      <c r="L52" s="507"/>
      <c r="M52" s="507"/>
      <c r="N52" s="507"/>
      <c r="O52" s="507"/>
      <c r="P52" s="507"/>
      <c r="Q52" s="507"/>
      <c r="R52" s="507"/>
    </row>
    <row r="53" spans="4:18" ht="24.75" customHeight="1">
      <c r="D53" s="505"/>
      <c r="E53" s="488" t="s">
        <v>611</v>
      </c>
      <c r="F53" s="508"/>
      <c r="G53" s="481"/>
      <c r="H53" s="481"/>
      <c r="I53" s="491">
        <v>100</v>
      </c>
      <c r="J53" s="477">
        <v>3</v>
      </c>
      <c r="K53" s="507"/>
      <c r="L53" s="507"/>
      <c r="M53" s="507"/>
      <c r="N53" s="507"/>
      <c r="O53" s="507"/>
      <c r="P53" s="507"/>
      <c r="Q53" s="507"/>
      <c r="R53" s="507"/>
    </row>
    <row r="54" spans="4:18" ht="30" customHeight="1">
      <c r="D54" s="505"/>
      <c r="E54" s="488" t="s">
        <v>610</v>
      </c>
      <c r="F54" s="508"/>
      <c r="G54" s="481"/>
      <c r="H54" s="481"/>
      <c r="I54" s="491">
        <v>99.9</v>
      </c>
      <c r="J54" s="477">
        <v>0</v>
      </c>
      <c r="K54" s="507"/>
      <c r="L54" s="507"/>
      <c r="M54" s="507"/>
      <c r="N54" s="507"/>
      <c r="O54" s="507"/>
      <c r="P54" s="507"/>
      <c r="Q54" s="507"/>
      <c r="R54" s="507"/>
    </row>
    <row r="55" spans="4:18" ht="30" customHeight="1">
      <c r="D55" s="505"/>
      <c r="E55" s="679" t="s">
        <v>691</v>
      </c>
      <c r="F55" s="680"/>
      <c r="G55" s="680"/>
      <c r="H55" s="680"/>
      <c r="I55" s="680"/>
      <c r="J55" s="680"/>
      <c r="K55" s="680"/>
      <c r="L55" s="680"/>
      <c r="M55" s="680"/>
      <c r="N55" s="680"/>
      <c r="O55" s="680"/>
      <c r="P55" s="680"/>
      <c r="Q55" s="680"/>
      <c r="R55" s="681"/>
    </row>
    <row r="56" spans="4:18" ht="30" customHeight="1">
      <c r="D56" s="505"/>
      <c r="E56" s="679" t="s">
        <v>805</v>
      </c>
      <c r="F56" s="680"/>
      <c r="G56" s="680"/>
      <c r="H56" s="680"/>
      <c r="I56" s="680"/>
      <c r="J56" s="680"/>
      <c r="K56" s="680"/>
      <c r="L56" s="680"/>
      <c r="M56" s="680"/>
      <c r="N56" s="680"/>
      <c r="O56" s="680"/>
      <c r="P56" s="680"/>
      <c r="Q56" s="680"/>
      <c r="R56" s="681"/>
    </row>
    <row r="57" spans="4:18" ht="30" customHeight="1">
      <c r="D57" s="505" t="s">
        <v>609</v>
      </c>
      <c r="E57" s="570" t="s">
        <v>692</v>
      </c>
      <c r="F57" s="514" t="s">
        <v>14</v>
      </c>
      <c r="G57" s="514">
        <v>99</v>
      </c>
      <c r="H57" s="514">
        <v>99</v>
      </c>
      <c r="I57" s="491"/>
      <c r="J57" s="491"/>
      <c r="K57" s="569"/>
      <c r="L57" s="569"/>
      <c r="M57" s="569"/>
      <c r="N57" s="569"/>
      <c r="O57" s="569"/>
      <c r="P57" s="569"/>
      <c r="Q57" s="569"/>
      <c r="R57" s="569"/>
    </row>
    <row r="58" spans="4:18" ht="30" customHeight="1">
      <c r="D58" s="505"/>
      <c r="E58" s="488" t="s">
        <v>611</v>
      </c>
      <c r="F58" s="508"/>
      <c r="G58" s="555"/>
      <c r="H58" s="555"/>
      <c r="I58" s="491">
        <v>100</v>
      </c>
      <c r="J58" s="491">
        <v>3</v>
      </c>
      <c r="K58" s="569"/>
      <c r="L58" s="569"/>
      <c r="M58" s="569"/>
      <c r="N58" s="569"/>
      <c r="O58" s="569"/>
      <c r="P58" s="569"/>
      <c r="Q58" s="569"/>
      <c r="R58" s="569"/>
    </row>
    <row r="59" spans="4:18" ht="30" customHeight="1">
      <c r="D59" s="505"/>
      <c r="E59" s="488" t="s">
        <v>610</v>
      </c>
      <c r="F59" s="508"/>
      <c r="G59" s="555"/>
      <c r="H59" s="555"/>
      <c r="I59" s="491">
        <v>99.3</v>
      </c>
      <c r="J59" s="491">
        <v>0</v>
      </c>
      <c r="K59" s="507"/>
      <c r="L59" s="507"/>
      <c r="M59" s="507"/>
      <c r="N59" s="507"/>
      <c r="O59" s="507"/>
      <c r="P59" s="507"/>
      <c r="Q59" s="507"/>
      <c r="R59" s="507"/>
    </row>
    <row r="60" spans="4:18" ht="76.5" customHeight="1">
      <c r="D60" s="497"/>
      <c r="E60" s="633" t="s">
        <v>590</v>
      </c>
      <c r="F60" s="498"/>
      <c r="G60" s="484"/>
      <c r="H60" s="484"/>
      <c r="I60" s="484"/>
      <c r="J60" s="491" t="s">
        <v>833</v>
      </c>
      <c r="K60" s="484"/>
      <c r="L60" s="484"/>
      <c r="M60" s="485"/>
      <c r="N60" s="485"/>
      <c r="O60" s="485"/>
      <c r="P60" s="477" t="s">
        <v>834</v>
      </c>
      <c r="Q60" s="571" t="s">
        <v>835</v>
      </c>
      <c r="R60" s="491" t="s">
        <v>836</v>
      </c>
    </row>
    <row r="61" spans="4:21" ht="29.25" customHeight="1">
      <c r="D61" s="783" t="s">
        <v>812</v>
      </c>
      <c r="E61" s="784"/>
      <c r="F61" s="784"/>
      <c r="G61" s="784"/>
      <c r="H61" s="784"/>
      <c r="I61" s="784"/>
      <c r="J61" s="784"/>
      <c r="K61" s="784"/>
      <c r="L61" s="784"/>
      <c r="M61" s="784"/>
      <c r="N61" s="784"/>
      <c r="O61" s="784"/>
      <c r="P61" s="784"/>
      <c r="Q61" s="784"/>
      <c r="R61" s="784"/>
      <c r="S61" s="465"/>
      <c r="U61" s="632">
        <v>3</v>
      </c>
    </row>
    <row r="62" spans="4:18" ht="32.25" customHeight="1">
      <c r="D62" s="500"/>
      <c r="E62" s="674" t="s">
        <v>736</v>
      </c>
      <c r="F62" s="675"/>
      <c r="G62" s="675"/>
      <c r="H62" s="675"/>
      <c r="I62" s="675"/>
      <c r="J62" s="675"/>
      <c r="K62" s="675"/>
      <c r="L62" s="675"/>
      <c r="M62" s="675"/>
      <c r="N62" s="675"/>
      <c r="O62" s="675"/>
      <c r="P62" s="675"/>
      <c r="Q62" s="675"/>
      <c r="R62" s="675"/>
    </row>
    <row r="63" spans="4:18" ht="30.75" customHeight="1" thickBot="1">
      <c r="D63" s="500"/>
      <c r="E63" s="676" t="s">
        <v>737</v>
      </c>
      <c r="F63" s="677"/>
      <c r="G63" s="677"/>
      <c r="H63" s="677"/>
      <c r="I63" s="677"/>
      <c r="J63" s="677"/>
      <c r="K63" s="677"/>
      <c r="L63" s="677"/>
      <c r="M63" s="677"/>
      <c r="N63" s="677"/>
      <c r="O63" s="677"/>
      <c r="P63" s="677"/>
      <c r="Q63" s="677"/>
      <c r="R63" s="678"/>
    </row>
    <row r="64" spans="4:18" ht="74.25" customHeight="1" thickBot="1">
      <c r="D64" s="505">
        <v>1</v>
      </c>
      <c r="E64" s="593" t="s">
        <v>738</v>
      </c>
      <c r="F64" s="594" t="s">
        <v>14</v>
      </c>
      <c r="G64" s="594" t="s">
        <v>739</v>
      </c>
      <c r="H64" s="594">
        <v>15.1</v>
      </c>
      <c r="I64" s="484"/>
      <c r="J64" s="485"/>
      <c r="K64" s="485"/>
      <c r="L64" s="485"/>
      <c r="M64" s="485"/>
      <c r="N64" s="485"/>
      <c r="O64" s="485"/>
      <c r="P64" s="485"/>
      <c r="Q64" s="485"/>
      <c r="R64" s="485"/>
    </row>
    <row r="65" spans="4:18" ht="39.75" customHeight="1" thickBot="1">
      <c r="D65" s="505">
        <v>2</v>
      </c>
      <c r="E65" s="595" t="s">
        <v>740</v>
      </c>
      <c r="F65" s="596" t="s">
        <v>14</v>
      </c>
      <c r="G65" s="596" t="s">
        <v>741</v>
      </c>
      <c r="H65" s="596">
        <v>1.9</v>
      </c>
      <c r="I65" s="484"/>
      <c r="J65" s="485"/>
      <c r="K65" s="485"/>
      <c r="L65" s="485"/>
      <c r="M65" s="485"/>
      <c r="N65" s="485"/>
      <c r="O65" s="485"/>
      <c r="P65" s="485"/>
      <c r="Q65" s="485"/>
      <c r="R65" s="485"/>
    </row>
    <row r="66" spans="4:18" ht="53.25" customHeight="1" thickBot="1">
      <c r="D66" s="505">
        <v>3</v>
      </c>
      <c r="E66" s="595" t="s">
        <v>742</v>
      </c>
      <c r="F66" s="596" t="s">
        <v>14</v>
      </c>
      <c r="G66" s="596" t="s">
        <v>743</v>
      </c>
      <c r="H66" s="596">
        <v>-2.5</v>
      </c>
      <c r="I66" s="484"/>
      <c r="J66" s="485"/>
      <c r="K66" s="485"/>
      <c r="L66" s="485"/>
      <c r="M66" s="485"/>
      <c r="N66" s="485"/>
      <c r="O66" s="485"/>
      <c r="P66" s="485"/>
      <c r="Q66" s="485"/>
      <c r="R66" s="485"/>
    </row>
    <row r="67" spans="4:18" ht="24" customHeight="1">
      <c r="D67" s="505"/>
      <c r="E67" s="488" t="s">
        <v>611</v>
      </c>
      <c r="F67" s="508"/>
      <c r="G67" s="555"/>
      <c r="H67" s="555"/>
      <c r="I67" s="491">
        <v>100</v>
      </c>
      <c r="J67" s="491">
        <v>3</v>
      </c>
      <c r="K67" s="488" t="s">
        <v>611</v>
      </c>
      <c r="L67" s="508"/>
      <c r="M67" s="555"/>
      <c r="N67" s="555"/>
      <c r="O67" s="491">
        <v>100</v>
      </c>
      <c r="P67" s="491"/>
      <c r="Q67" s="485"/>
      <c r="R67" s="485"/>
    </row>
    <row r="68" spans="4:18" ht="30.75" customHeight="1">
      <c r="D68" s="505"/>
      <c r="E68" s="488" t="s">
        <v>610</v>
      </c>
      <c r="F68" s="508"/>
      <c r="G68" s="555"/>
      <c r="H68" s="555"/>
      <c r="I68" s="491">
        <v>99.93</v>
      </c>
      <c r="J68" s="491">
        <v>0</v>
      </c>
      <c r="K68" s="488" t="s">
        <v>610</v>
      </c>
      <c r="L68" s="508"/>
      <c r="M68" s="555"/>
      <c r="N68" s="555"/>
      <c r="O68" s="491">
        <v>100</v>
      </c>
      <c r="P68" s="491"/>
      <c r="Q68" s="485"/>
      <c r="R68" s="485"/>
    </row>
    <row r="69" spans="4:18" ht="25.5" customHeight="1">
      <c r="D69" s="505"/>
      <c r="E69" s="676" t="s">
        <v>736</v>
      </c>
      <c r="F69" s="687"/>
      <c r="G69" s="687"/>
      <c r="H69" s="687"/>
      <c r="I69" s="687"/>
      <c r="J69" s="687"/>
      <c r="K69" s="687"/>
      <c r="L69" s="687"/>
      <c r="M69" s="687"/>
      <c r="N69" s="687"/>
      <c r="O69" s="687"/>
      <c r="P69" s="687"/>
      <c r="Q69" s="687"/>
      <c r="R69" s="688"/>
    </row>
    <row r="70" spans="4:18" ht="30" customHeight="1" thickBot="1">
      <c r="D70" s="505"/>
      <c r="E70" s="676" t="s">
        <v>746</v>
      </c>
      <c r="F70" s="687"/>
      <c r="G70" s="687"/>
      <c r="H70" s="687"/>
      <c r="I70" s="687"/>
      <c r="J70" s="687"/>
      <c r="K70" s="687"/>
      <c r="L70" s="687"/>
      <c r="M70" s="687"/>
      <c r="N70" s="687"/>
      <c r="O70" s="687"/>
      <c r="P70" s="687"/>
      <c r="Q70" s="687"/>
      <c r="R70" s="688"/>
    </row>
    <row r="71" spans="4:18" ht="34.5" customHeight="1" thickBot="1">
      <c r="D71" s="505">
        <v>1</v>
      </c>
      <c r="E71" s="593" t="s">
        <v>744</v>
      </c>
      <c r="F71" s="594" t="s">
        <v>14</v>
      </c>
      <c r="G71" s="597" t="s">
        <v>745</v>
      </c>
      <c r="H71" s="594">
        <v>99.4</v>
      </c>
      <c r="I71" s="484"/>
      <c r="J71" s="485"/>
      <c r="K71" s="485"/>
      <c r="L71" s="485"/>
      <c r="M71" s="485"/>
      <c r="N71" s="485"/>
      <c r="O71" s="485"/>
      <c r="P71" s="485"/>
      <c r="Q71" s="485"/>
      <c r="R71" s="485"/>
    </row>
    <row r="72" spans="4:18" ht="53.25" customHeight="1" thickBot="1">
      <c r="D72" s="505">
        <v>2</v>
      </c>
      <c r="E72" s="595" t="s">
        <v>747</v>
      </c>
      <c r="F72" s="596" t="s">
        <v>14</v>
      </c>
      <c r="G72" s="596">
        <v>0</v>
      </c>
      <c r="H72" s="596">
        <v>0</v>
      </c>
      <c r="I72" s="484"/>
      <c r="J72" s="485"/>
      <c r="K72" s="485"/>
      <c r="L72" s="485"/>
      <c r="M72" s="485"/>
      <c r="N72" s="485"/>
      <c r="O72" s="485"/>
      <c r="P72" s="485"/>
      <c r="Q72" s="485"/>
      <c r="R72" s="485"/>
    </row>
    <row r="73" spans="4:18" ht="15.75">
      <c r="D73" s="505"/>
      <c r="E73" s="488" t="s">
        <v>611</v>
      </c>
      <c r="F73" s="508"/>
      <c r="G73" s="481"/>
      <c r="H73" s="481"/>
      <c r="I73" s="491">
        <v>100</v>
      </c>
      <c r="J73" s="491">
        <v>3</v>
      </c>
      <c r="K73" s="485"/>
      <c r="L73" s="485"/>
      <c r="M73" s="485"/>
      <c r="N73" s="485"/>
      <c r="O73" s="485"/>
      <c r="P73" s="485"/>
      <c r="Q73" s="485"/>
      <c r="R73" s="485"/>
    </row>
    <row r="74" spans="4:18" ht="28.5">
      <c r="D74" s="505"/>
      <c r="E74" s="488" t="s">
        <v>610</v>
      </c>
      <c r="F74" s="508"/>
      <c r="G74" s="481"/>
      <c r="H74" s="481"/>
      <c r="I74" s="491">
        <v>99.93</v>
      </c>
      <c r="J74" s="491">
        <v>0</v>
      </c>
      <c r="K74" s="485"/>
      <c r="L74" s="485"/>
      <c r="M74" s="485"/>
      <c r="N74" s="485"/>
      <c r="O74" s="485"/>
      <c r="P74" s="485"/>
      <c r="Q74" s="485"/>
      <c r="R74" s="485"/>
    </row>
    <row r="75" spans="4:18" ht="58.5" customHeight="1">
      <c r="D75" s="505"/>
      <c r="E75" s="633" t="s">
        <v>590</v>
      </c>
      <c r="F75" s="498"/>
      <c r="G75" s="484"/>
      <c r="H75" s="484"/>
      <c r="I75" s="484"/>
      <c r="J75" s="491" t="s">
        <v>661</v>
      </c>
      <c r="K75" s="484"/>
      <c r="L75" s="484"/>
      <c r="M75" s="485"/>
      <c r="N75" s="485"/>
      <c r="O75" s="485"/>
      <c r="P75" s="491" t="s">
        <v>725</v>
      </c>
      <c r="Q75" s="515" t="s">
        <v>662</v>
      </c>
      <c r="R75" s="491" t="s">
        <v>630</v>
      </c>
    </row>
    <row r="76" spans="4:21" ht="27" customHeight="1">
      <c r="D76" s="785" t="s">
        <v>693</v>
      </c>
      <c r="E76" s="785"/>
      <c r="F76" s="785"/>
      <c r="G76" s="785"/>
      <c r="H76" s="785"/>
      <c r="I76" s="785"/>
      <c r="J76" s="785"/>
      <c r="K76" s="785"/>
      <c r="L76" s="785"/>
      <c r="M76" s="785"/>
      <c r="N76" s="785"/>
      <c r="O76" s="785"/>
      <c r="P76" s="785"/>
      <c r="Q76" s="785"/>
      <c r="R76" s="785"/>
      <c r="S76" s="465"/>
      <c r="U76" s="632">
        <v>4</v>
      </c>
    </row>
    <row r="77" spans="4:18" ht="30.75" customHeight="1">
      <c r="D77" s="524"/>
      <c r="E77" s="676" t="s">
        <v>623</v>
      </c>
      <c r="F77" s="677"/>
      <c r="G77" s="677"/>
      <c r="H77" s="677"/>
      <c r="I77" s="677"/>
      <c r="J77" s="677"/>
      <c r="K77" s="677"/>
      <c r="L77" s="677"/>
      <c r="M77" s="677"/>
      <c r="N77" s="677"/>
      <c r="O77" s="677"/>
      <c r="P77" s="677"/>
      <c r="Q77" s="677"/>
      <c r="R77" s="678"/>
    </row>
    <row r="78" spans="4:18" ht="30.75" customHeight="1">
      <c r="D78" s="524"/>
      <c r="E78" s="676" t="s">
        <v>634</v>
      </c>
      <c r="F78" s="677"/>
      <c r="G78" s="677"/>
      <c r="H78" s="677"/>
      <c r="I78" s="677"/>
      <c r="J78" s="677"/>
      <c r="K78" s="677"/>
      <c r="L78" s="677"/>
      <c r="M78" s="677"/>
      <c r="N78" s="677"/>
      <c r="O78" s="677"/>
      <c r="P78" s="677"/>
      <c r="Q78" s="677"/>
      <c r="R78" s="678"/>
    </row>
    <row r="79" spans="4:18" ht="75">
      <c r="D79" s="505">
        <v>1</v>
      </c>
      <c r="E79" s="525" t="s">
        <v>624</v>
      </c>
      <c r="F79" s="514" t="s">
        <v>605</v>
      </c>
      <c r="G79" s="484">
        <v>4</v>
      </c>
      <c r="H79" s="484">
        <v>1</v>
      </c>
      <c r="I79" s="484"/>
      <c r="J79" s="484"/>
      <c r="K79" s="485"/>
      <c r="L79" s="485"/>
      <c r="M79" s="485"/>
      <c r="N79" s="485"/>
      <c r="O79" s="485"/>
      <c r="P79" s="485"/>
      <c r="Q79" s="485"/>
      <c r="R79" s="485"/>
    </row>
    <row r="80" spans="4:18" ht="111" customHeight="1">
      <c r="D80" s="505">
        <v>2</v>
      </c>
      <c r="E80" s="525" t="s">
        <v>625</v>
      </c>
      <c r="F80" s="514" t="s">
        <v>14</v>
      </c>
      <c r="G80" s="484">
        <v>19</v>
      </c>
      <c r="H80" s="484">
        <v>2.9</v>
      </c>
      <c r="I80" s="484"/>
      <c r="J80" s="484"/>
      <c r="K80" s="485"/>
      <c r="L80" s="485"/>
      <c r="M80" s="485"/>
      <c r="N80" s="485"/>
      <c r="O80" s="485"/>
      <c r="P80" s="485"/>
      <c r="Q80" s="485"/>
      <c r="R80" s="485"/>
    </row>
    <row r="81" spans="4:18" ht="46.5" customHeight="1">
      <c r="D81" s="505">
        <v>3</v>
      </c>
      <c r="E81" s="525" t="s">
        <v>626</v>
      </c>
      <c r="F81" s="514" t="s">
        <v>14</v>
      </c>
      <c r="G81" s="484">
        <v>100</v>
      </c>
      <c r="H81" s="484">
        <v>100</v>
      </c>
      <c r="I81" s="484"/>
      <c r="J81" s="484"/>
      <c r="K81" s="485"/>
      <c r="L81" s="485"/>
      <c r="M81" s="485"/>
      <c r="N81" s="485"/>
      <c r="O81" s="485"/>
      <c r="P81" s="485"/>
      <c r="Q81" s="485"/>
      <c r="R81" s="485"/>
    </row>
    <row r="82" spans="4:18" ht="24.75" customHeight="1">
      <c r="D82" s="503"/>
      <c r="E82" s="488" t="s">
        <v>611</v>
      </c>
      <c r="F82" s="508"/>
      <c r="G82" s="481"/>
      <c r="H82" s="481"/>
      <c r="I82" s="491">
        <v>33.3</v>
      </c>
      <c r="J82" s="491">
        <v>1</v>
      </c>
      <c r="K82" s="485"/>
      <c r="L82" s="485"/>
      <c r="M82" s="485"/>
      <c r="N82" s="485"/>
      <c r="O82" s="485"/>
      <c r="P82" s="485"/>
      <c r="Q82" s="485"/>
      <c r="R82" s="485"/>
    </row>
    <row r="83" spans="4:18" ht="28.5" customHeight="1">
      <c r="D83" s="503"/>
      <c r="E83" s="488" t="s">
        <v>610</v>
      </c>
      <c r="F83" s="508"/>
      <c r="G83" s="481"/>
      <c r="H83" s="481"/>
      <c r="I83" s="491">
        <v>100</v>
      </c>
      <c r="J83" s="491">
        <v>0</v>
      </c>
      <c r="K83" s="485"/>
      <c r="L83" s="485"/>
      <c r="M83" s="485"/>
      <c r="N83" s="485"/>
      <c r="O83" s="485"/>
      <c r="P83" s="485"/>
      <c r="Q83" s="485"/>
      <c r="R83" s="485"/>
    </row>
    <row r="84" spans="4:18" ht="59.25" customHeight="1">
      <c r="D84" s="526"/>
      <c r="E84" s="633" t="s">
        <v>590</v>
      </c>
      <c r="F84" s="498"/>
      <c r="G84" s="484"/>
      <c r="H84" s="484"/>
      <c r="I84" s="484"/>
      <c r="J84" s="491" t="s">
        <v>694</v>
      </c>
      <c r="K84" s="484"/>
      <c r="L84" s="484"/>
      <c r="M84" s="485"/>
      <c r="N84" s="485"/>
      <c r="O84" s="485"/>
      <c r="P84" s="491" t="s">
        <v>695</v>
      </c>
      <c r="Q84" s="515" t="s">
        <v>696</v>
      </c>
      <c r="R84" s="491" t="s">
        <v>697</v>
      </c>
    </row>
    <row r="85" spans="4:21" ht="52.5" customHeight="1">
      <c r="D85" s="783" t="s">
        <v>748</v>
      </c>
      <c r="E85" s="783"/>
      <c r="F85" s="783"/>
      <c r="G85" s="783"/>
      <c r="H85" s="783"/>
      <c r="I85" s="783"/>
      <c r="J85" s="783"/>
      <c r="K85" s="783"/>
      <c r="L85" s="783"/>
      <c r="M85" s="783"/>
      <c r="N85" s="783"/>
      <c r="O85" s="783"/>
      <c r="P85" s="783"/>
      <c r="Q85" s="783"/>
      <c r="R85" s="783"/>
      <c r="S85" s="465"/>
      <c r="T85" s="465"/>
      <c r="U85" s="632">
        <v>5</v>
      </c>
    </row>
    <row r="86" spans="4:18" ht="38.25" customHeight="1">
      <c r="D86" s="674" t="s">
        <v>749</v>
      </c>
      <c r="E86" s="674"/>
      <c r="F86" s="674"/>
      <c r="G86" s="674"/>
      <c r="H86" s="674"/>
      <c r="I86" s="674"/>
      <c r="J86" s="674"/>
      <c r="K86" s="674"/>
      <c r="L86" s="674"/>
      <c r="M86" s="674"/>
      <c r="N86" s="674"/>
      <c r="O86" s="674"/>
      <c r="P86" s="674"/>
      <c r="Q86" s="674"/>
      <c r="R86" s="674"/>
    </row>
    <row r="87" spans="4:18" ht="33" customHeight="1" thickBot="1">
      <c r="D87" s="676" t="s">
        <v>750</v>
      </c>
      <c r="E87" s="687"/>
      <c r="F87" s="687"/>
      <c r="G87" s="711"/>
      <c r="H87" s="711"/>
      <c r="I87" s="687"/>
      <c r="J87" s="687"/>
      <c r="K87" s="687"/>
      <c r="L87" s="687"/>
      <c r="M87" s="687"/>
      <c r="N87" s="687"/>
      <c r="O87" s="687"/>
      <c r="P87" s="687"/>
      <c r="Q87" s="687"/>
      <c r="R87" s="688"/>
    </row>
    <row r="88" spans="4:18" ht="18" customHeight="1" thickBot="1">
      <c r="D88" s="505">
        <v>1</v>
      </c>
      <c r="E88" s="527" t="s">
        <v>600</v>
      </c>
      <c r="F88" s="528" t="s">
        <v>605</v>
      </c>
      <c r="G88" s="560">
        <v>367</v>
      </c>
      <c r="H88" s="566">
        <v>350</v>
      </c>
      <c r="I88" s="529"/>
      <c r="J88" s="484"/>
      <c r="K88" s="484"/>
      <c r="L88" s="484"/>
      <c r="M88" s="484"/>
      <c r="N88" s="484"/>
      <c r="O88" s="484"/>
      <c r="P88" s="484"/>
      <c r="Q88" s="484"/>
      <c r="R88" s="484"/>
    </row>
    <row r="89" spans="4:18" ht="36.75" customHeight="1" thickBot="1">
      <c r="D89" s="505">
        <v>2</v>
      </c>
      <c r="E89" s="530" t="s">
        <v>601</v>
      </c>
      <c r="F89" s="528" t="s">
        <v>501</v>
      </c>
      <c r="G89" s="598">
        <v>4475</v>
      </c>
      <c r="H89" s="599">
        <v>4045</v>
      </c>
      <c r="I89" s="529"/>
      <c r="J89" s="484"/>
      <c r="K89" s="484"/>
      <c r="L89" s="484"/>
      <c r="M89" s="484"/>
      <c r="N89" s="484"/>
      <c r="O89" s="484"/>
      <c r="P89" s="484"/>
      <c r="Q89" s="484"/>
      <c r="R89" s="484"/>
    </row>
    <row r="90" spans="4:18" ht="80.25" customHeight="1" thickBot="1">
      <c r="D90" s="505">
        <v>3</v>
      </c>
      <c r="E90" s="589" t="s">
        <v>602</v>
      </c>
      <c r="F90" s="528" t="s">
        <v>14</v>
      </c>
      <c r="G90" s="560">
        <v>39.7</v>
      </c>
      <c r="H90" s="566">
        <v>41.3</v>
      </c>
      <c r="I90" s="529"/>
      <c r="J90" s="484"/>
      <c r="K90" s="484"/>
      <c r="L90" s="484"/>
      <c r="M90" s="484"/>
      <c r="N90" s="484"/>
      <c r="O90" s="484"/>
      <c r="P90" s="484"/>
      <c r="Q90" s="484"/>
      <c r="R90" s="484"/>
    </row>
    <row r="91" spans="4:18" ht="32.25" thickBot="1">
      <c r="D91" s="505">
        <v>4</v>
      </c>
      <c r="E91" s="568" t="s">
        <v>603</v>
      </c>
      <c r="F91" s="528" t="s">
        <v>606</v>
      </c>
      <c r="G91" s="600">
        <v>7606.8</v>
      </c>
      <c r="H91" s="601">
        <v>7368</v>
      </c>
      <c r="I91" s="529"/>
      <c r="J91" s="484"/>
      <c r="K91" s="484"/>
      <c r="L91" s="484"/>
      <c r="M91" s="484"/>
      <c r="N91" s="484"/>
      <c r="O91" s="484"/>
      <c r="P91" s="484"/>
      <c r="Q91" s="484"/>
      <c r="R91" s="484"/>
    </row>
    <row r="92" spans="4:18" ht="54" customHeight="1" thickBot="1">
      <c r="D92" s="483">
        <v>5</v>
      </c>
      <c r="E92" s="568" t="s">
        <v>604</v>
      </c>
      <c r="F92" s="528" t="s">
        <v>14</v>
      </c>
      <c r="G92" s="560">
        <v>2.7</v>
      </c>
      <c r="H92" s="566">
        <v>6.1</v>
      </c>
      <c r="I92" s="504"/>
      <c r="J92" s="484"/>
      <c r="K92" s="484"/>
      <c r="L92" s="484"/>
      <c r="M92" s="484"/>
      <c r="N92" s="484"/>
      <c r="O92" s="484"/>
      <c r="P92" s="484"/>
      <c r="Q92" s="484"/>
      <c r="R92" s="484"/>
    </row>
    <row r="93" spans="4:18" ht="63.75" thickBot="1">
      <c r="D93" s="505">
        <v>6</v>
      </c>
      <c r="E93" s="568" t="s">
        <v>656</v>
      </c>
      <c r="F93" s="528" t="s">
        <v>657</v>
      </c>
      <c r="G93" s="560">
        <v>18</v>
      </c>
      <c r="H93" s="566">
        <v>21.71</v>
      </c>
      <c r="I93" s="529"/>
      <c r="J93" s="484"/>
      <c r="K93" s="484"/>
      <c r="L93" s="484"/>
      <c r="M93" s="484"/>
      <c r="N93" s="484"/>
      <c r="O93" s="484"/>
      <c r="P93" s="484"/>
      <c r="Q93" s="484"/>
      <c r="R93" s="484"/>
    </row>
    <row r="94" spans="4:18" ht="19.5" customHeight="1">
      <c r="D94" s="505"/>
      <c r="E94" s="488" t="s">
        <v>611</v>
      </c>
      <c r="F94" s="514"/>
      <c r="G94" s="531"/>
      <c r="H94" s="531"/>
      <c r="I94" s="603">
        <v>50</v>
      </c>
      <c r="J94" s="533">
        <v>1</v>
      </c>
      <c r="K94" s="492"/>
      <c r="L94" s="492"/>
      <c r="M94" s="492"/>
      <c r="N94" s="492"/>
      <c r="O94" s="492"/>
      <c r="P94" s="534"/>
      <c r="Q94" s="492"/>
      <c r="R94" s="492"/>
    </row>
    <row r="95" spans="4:18" ht="28.5">
      <c r="D95" s="483"/>
      <c r="E95" s="488" t="s">
        <v>610</v>
      </c>
      <c r="F95" s="481"/>
      <c r="G95" s="481"/>
      <c r="H95" s="481"/>
      <c r="I95" s="602">
        <v>341.8</v>
      </c>
      <c r="J95" s="490">
        <v>0</v>
      </c>
      <c r="K95" s="495"/>
      <c r="L95" s="492"/>
      <c r="M95" s="493"/>
      <c r="N95" s="493"/>
      <c r="O95" s="493"/>
      <c r="P95" s="496"/>
      <c r="Q95" s="493"/>
      <c r="R95" s="493"/>
    </row>
    <row r="96" spans="4:18" ht="30.75" customHeight="1">
      <c r="D96" s="704" t="s">
        <v>658</v>
      </c>
      <c r="E96" s="712"/>
      <c r="F96" s="712"/>
      <c r="G96" s="712"/>
      <c r="H96" s="712"/>
      <c r="I96" s="712"/>
      <c r="J96" s="712"/>
      <c r="K96" s="712"/>
      <c r="L96" s="712"/>
      <c r="M96" s="712"/>
      <c r="N96" s="712"/>
      <c r="O96" s="712"/>
      <c r="P96" s="712"/>
      <c r="Q96" s="712"/>
      <c r="R96" s="713"/>
    </row>
    <row r="97" spans="4:18" ht="45">
      <c r="D97" s="483" t="s">
        <v>609</v>
      </c>
      <c r="E97" s="576" t="s">
        <v>751</v>
      </c>
      <c r="F97" s="481" t="s">
        <v>598</v>
      </c>
      <c r="G97" s="481" t="s">
        <v>599</v>
      </c>
      <c r="H97" s="481" t="s">
        <v>599</v>
      </c>
      <c r="I97" s="490"/>
      <c r="J97" s="490"/>
      <c r="K97" s="495"/>
      <c r="L97" s="492"/>
      <c r="M97" s="493"/>
      <c r="N97" s="493"/>
      <c r="O97" s="493"/>
      <c r="P97" s="496"/>
      <c r="Q97" s="493"/>
      <c r="R97" s="493"/>
    </row>
    <row r="98" spans="4:18" ht="15">
      <c r="D98" s="483"/>
      <c r="E98" s="488" t="s">
        <v>611</v>
      </c>
      <c r="F98" s="514"/>
      <c r="G98" s="531"/>
      <c r="H98" s="531"/>
      <c r="I98" s="532">
        <v>100</v>
      </c>
      <c r="J98" s="533">
        <v>3</v>
      </c>
      <c r="K98" s="495"/>
      <c r="L98" s="492"/>
      <c r="M98" s="493"/>
      <c r="N98" s="493"/>
      <c r="O98" s="493"/>
      <c r="P98" s="496"/>
      <c r="Q98" s="493"/>
      <c r="R98" s="493"/>
    </row>
    <row r="99" spans="4:18" ht="28.5">
      <c r="D99" s="483"/>
      <c r="E99" s="488" t="s">
        <v>610</v>
      </c>
      <c r="F99" s="481"/>
      <c r="G99" s="481"/>
      <c r="H99" s="481"/>
      <c r="I99" s="490">
        <v>0</v>
      </c>
      <c r="J99" s="490">
        <v>0</v>
      </c>
      <c r="K99" s="495"/>
      <c r="L99" s="492"/>
      <c r="M99" s="493"/>
      <c r="N99" s="493"/>
      <c r="O99" s="493"/>
      <c r="P99" s="496"/>
      <c r="Q99" s="493"/>
      <c r="R99" s="493"/>
    </row>
    <row r="100" spans="4:18" ht="28.5" customHeight="1">
      <c r="D100" s="714" t="s">
        <v>698</v>
      </c>
      <c r="E100" s="712"/>
      <c r="F100" s="712"/>
      <c r="G100" s="712"/>
      <c r="H100" s="712"/>
      <c r="I100" s="712"/>
      <c r="J100" s="712"/>
      <c r="K100" s="712"/>
      <c r="L100" s="712"/>
      <c r="M100" s="712"/>
      <c r="N100" s="712"/>
      <c r="O100" s="712"/>
      <c r="P100" s="712"/>
      <c r="Q100" s="712"/>
      <c r="R100" s="713"/>
    </row>
    <row r="101" spans="4:18" ht="36.75" customHeight="1">
      <c r="D101" s="483">
        <v>1</v>
      </c>
      <c r="E101" s="577" t="s">
        <v>659</v>
      </c>
      <c r="F101" s="481" t="s">
        <v>605</v>
      </c>
      <c r="G101" s="481">
        <v>8</v>
      </c>
      <c r="H101" s="481">
        <v>10</v>
      </c>
      <c r="I101" s="490"/>
      <c r="J101" s="490"/>
      <c r="K101" s="495"/>
      <c r="L101" s="492"/>
      <c r="M101" s="493"/>
      <c r="N101" s="493"/>
      <c r="O101" s="493"/>
      <c r="P101" s="496"/>
      <c r="Q101" s="493"/>
      <c r="R101" s="493"/>
    </row>
    <row r="102" spans="4:18" ht="21" customHeight="1">
      <c r="D102" s="483"/>
      <c r="E102" s="488" t="s">
        <v>611</v>
      </c>
      <c r="F102" s="514"/>
      <c r="G102" s="531"/>
      <c r="H102" s="531"/>
      <c r="I102" s="532">
        <v>100</v>
      </c>
      <c r="J102" s="533">
        <v>3</v>
      </c>
      <c r="K102" s="495"/>
      <c r="L102" s="492"/>
      <c r="M102" s="493"/>
      <c r="N102" s="493"/>
      <c r="O102" s="493"/>
      <c r="P102" s="496"/>
      <c r="Q102" s="493"/>
      <c r="R102" s="493"/>
    </row>
    <row r="103" spans="4:18" ht="28.5">
      <c r="D103" s="483"/>
      <c r="E103" s="488" t="s">
        <v>610</v>
      </c>
      <c r="F103" s="481"/>
      <c r="G103" s="481"/>
      <c r="H103" s="481"/>
      <c r="I103" s="490">
        <v>0</v>
      </c>
      <c r="J103" s="490">
        <v>0</v>
      </c>
      <c r="K103" s="495"/>
      <c r="L103" s="492"/>
      <c r="M103" s="493"/>
      <c r="N103" s="493"/>
      <c r="O103" s="493"/>
      <c r="P103" s="485"/>
      <c r="Q103" s="493"/>
      <c r="R103" s="493"/>
    </row>
    <row r="104" spans="4:18" ht="207.75" customHeight="1">
      <c r="D104" s="505"/>
      <c r="E104" s="524" t="s">
        <v>590</v>
      </c>
      <c r="F104" s="498"/>
      <c r="G104" s="484"/>
      <c r="H104" s="484"/>
      <c r="I104" s="484"/>
      <c r="J104" s="491" t="s">
        <v>837</v>
      </c>
      <c r="K104" s="484"/>
      <c r="L104" s="484"/>
      <c r="M104" s="485"/>
      <c r="N104" s="485"/>
      <c r="O104" s="485"/>
      <c r="P104" s="643" t="s">
        <v>838</v>
      </c>
      <c r="Q104" s="515" t="s">
        <v>840</v>
      </c>
      <c r="R104" s="497" t="s">
        <v>841</v>
      </c>
    </row>
    <row r="105" spans="4:18" ht="145.5" customHeight="1" hidden="1">
      <c r="D105" s="523"/>
      <c r="E105" s="535"/>
      <c r="F105" s="517"/>
      <c r="G105" s="518"/>
      <c r="H105" s="518"/>
      <c r="I105" s="518"/>
      <c r="J105" s="519"/>
      <c r="K105" s="518"/>
      <c r="L105" s="518"/>
      <c r="M105" s="520"/>
      <c r="N105" s="520"/>
      <c r="O105" s="520"/>
      <c r="P105" s="220" t="s">
        <v>839</v>
      </c>
      <c r="Q105" s="521"/>
      <c r="R105" s="516"/>
    </row>
    <row r="106" spans="4:21" ht="27.75" customHeight="1">
      <c r="D106" s="786" t="s">
        <v>752</v>
      </c>
      <c r="E106" s="786"/>
      <c r="F106" s="786"/>
      <c r="G106" s="786"/>
      <c r="H106" s="786"/>
      <c r="I106" s="786"/>
      <c r="J106" s="786"/>
      <c r="K106" s="786"/>
      <c r="L106" s="786"/>
      <c r="M106" s="786"/>
      <c r="N106" s="786"/>
      <c r="O106" s="786"/>
      <c r="P106" s="786"/>
      <c r="Q106" s="786"/>
      <c r="R106" s="786"/>
      <c r="S106" s="465"/>
      <c r="T106" s="465"/>
      <c r="U106" s="632">
        <v>6</v>
      </c>
    </row>
    <row r="107" spans="4:18" ht="45.75" customHeight="1">
      <c r="D107" s="536"/>
      <c r="E107" s="674" t="s">
        <v>809</v>
      </c>
      <c r="F107" s="675"/>
      <c r="G107" s="675"/>
      <c r="H107" s="675"/>
      <c r="I107" s="675"/>
      <c r="J107" s="675"/>
      <c r="K107" s="675"/>
      <c r="L107" s="675"/>
      <c r="M107" s="675"/>
      <c r="N107" s="675"/>
      <c r="O107" s="675"/>
      <c r="P107" s="675"/>
      <c r="Q107" s="675"/>
      <c r="R107" s="675"/>
    </row>
    <row r="108" spans="4:18" ht="30.75" customHeight="1">
      <c r="D108" s="536"/>
      <c r="E108" s="674" t="s">
        <v>753</v>
      </c>
      <c r="F108" s="675"/>
      <c r="G108" s="675"/>
      <c r="H108" s="675"/>
      <c r="I108" s="675"/>
      <c r="J108" s="675"/>
      <c r="K108" s="675"/>
      <c r="L108" s="675"/>
      <c r="M108" s="675"/>
      <c r="N108" s="675"/>
      <c r="O108" s="675"/>
      <c r="P108" s="675"/>
      <c r="Q108" s="675"/>
      <c r="R108" s="675"/>
    </row>
    <row r="109" spans="4:18" ht="31.5" customHeight="1">
      <c r="D109" s="505">
        <v>1</v>
      </c>
      <c r="E109" s="578" t="s">
        <v>607</v>
      </c>
      <c r="F109" s="514" t="s">
        <v>14</v>
      </c>
      <c r="G109" s="484">
        <v>100</v>
      </c>
      <c r="H109" s="484">
        <v>100</v>
      </c>
      <c r="I109" s="484"/>
      <c r="J109" s="484"/>
      <c r="K109" s="484"/>
      <c r="L109" s="484"/>
      <c r="M109" s="484"/>
      <c r="N109" s="484"/>
      <c r="O109" s="484"/>
      <c r="P109" s="484"/>
      <c r="Q109" s="484"/>
      <c r="R109" s="484"/>
    </row>
    <row r="110" spans="4:18" ht="47.25" customHeight="1" thickBot="1">
      <c r="D110" s="505" t="s">
        <v>614</v>
      </c>
      <c r="E110" s="525" t="s">
        <v>754</v>
      </c>
      <c r="F110" s="514" t="s">
        <v>14</v>
      </c>
      <c r="G110" s="484">
        <v>100</v>
      </c>
      <c r="H110" s="484">
        <v>100</v>
      </c>
      <c r="I110" s="484"/>
      <c r="J110" s="484"/>
      <c r="K110" s="484"/>
      <c r="L110" s="484"/>
      <c r="M110" s="484"/>
      <c r="N110" s="484"/>
      <c r="O110" s="484"/>
      <c r="P110" s="484"/>
      <c r="Q110" s="484"/>
      <c r="R110" s="484"/>
    </row>
    <row r="111" spans="4:18" ht="58.5" customHeight="1" thickBot="1">
      <c r="D111" s="505" t="s">
        <v>676</v>
      </c>
      <c r="E111" s="537" t="s">
        <v>647</v>
      </c>
      <c r="F111" s="514" t="s">
        <v>14</v>
      </c>
      <c r="G111" s="645">
        <v>104.3</v>
      </c>
      <c r="H111" s="644">
        <v>111.1</v>
      </c>
      <c r="I111" s="484"/>
      <c r="J111" s="484"/>
      <c r="K111" s="484"/>
      <c r="L111" s="484"/>
      <c r="M111" s="484"/>
      <c r="N111" s="484"/>
      <c r="O111" s="484"/>
      <c r="P111" s="484"/>
      <c r="Q111" s="484"/>
      <c r="R111" s="484"/>
    </row>
    <row r="112" spans="4:18" ht="60.75" customHeight="1" thickBot="1">
      <c r="D112" s="505" t="s">
        <v>699</v>
      </c>
      <c r="E112" s="578" t="s">
        <v>648</v>
      </c>
      <c r="F112" s="514" t="s">
        <v>14</v>
      </c>
      <c r="G112" s="484">
        <v>92.1</v>
      </c>
      <c r="H112" s="484">
        <v>93.8</v>
      </c>
      <c r="I112" s="484"/>
      <c r="J112" s="484"/>
      <c r="K112" s="484"/>
      <c r="L112" s="484"/>
      <c r="M112" s="484"/>
      <c r="N112" s="484"/>
      <c r="O112" s="484"/>
      <c r="P112" s="484"/>
      <c r="Q112" s="484"/>
      <c r="R112" s="484"/>
    </row>
    <row r="113" spans="4:18" ht="63" customHeight="1" thickBot="1">
      <c r="D113" s="505" t="s">
        <v>700</v>
      </c>
      <c r="E113" s="578" t="s">
        <v>649</v>
      </c>
      <c r="F113" s="514" t="s">
        <v>14</v>
      </c>
      <c r="G113" s="645">
        <v>93.1</v>
      </c>
      <c r="H113" s="644">
        <v>95.6</v>
      </c>
      <c r="I113" s="484"/>
      <c r="J113" s="484"/>
      <c r="K113" s="484"/>
      <c r="L113" s="484"/>
      <c r="M113" s="484"/>
      <c r="N113" s="484"/>
      <c r="O113" s="484"/>
      <c r="P113" s="484"/>
      <c r="Q113" s="484"/>
      <c r="R113" s="484"/>
    </row>
    <row r="114" spans="4:18" ht="34.5" customHeight="1">
      <c r="D114" s="538" t="s">
        <v>701</v>
      </c>
      <c r="E114" s="578" t="s">
        <v>650</v>
      </c>
      <c r="F114" s="514" t="s">
        <v>14</v>
      </c>
      <c r="G114" s="484">
        <v>100</v>
      </c>
      <c r="H114" s="484">
        <v>100</v>
      </c>
      <c r="I114" s="484"/>
      <c r="J114" s="484"/>
      <c r="K114" s="484"/>
      <c r="L114" s="484"/>
      <c r="M114" s="484"/>
      <c r="N114" s="484"/>
      <c r="O114" s="484"/>
      <c r="P114" s="484"/>
      <c r="Q114" s="484"/>
      <c r="R114" s="484"/>
    </row>
    <row r="115" spans="4:21" ht="60.75" customHeight="1">
      <c r="D115" s="604" t="s">
        <v>702</v>
      </c>
      <c r="E115" s="605" t="s">
        <v>755</v>
      </c>
      <c r="F115" s="502" t="s">
        <v>14</v>
      </c>
      <c r="G115" s="539">
        <v>25</v>
      </c>
      <c r="H115" s="539">
        <v>25</v>
      </c>
      <c r="I115" s="682"/>
      <c r="J115" s="684"/>
      <c r="K115" s="484"/>
      <c r="L115" s="484"/>
      <c r="M115" s="484"/>
      <c r="N115" s="484"/>
      <c r="O115" s="484"/>
      <c r="P115" s="684"/>
      <c r="Q115" s="684"/>
      <c r="R115" s="684"/>
      <c r="U115" s="465"/>
    </row>
    <row r="116" spans="4:18" ht="20.25" customHeight="1">
      <c r="D116" s="540"/>
      <c r="E116" s="582" t="s">
        <v>654</v>
      </c>
      <c r="F116" s="541"/>
      <c r="G116" s="542">
        <v>20</v>
      </c>
      <c r="H116" s="542">
        <v>20</v>
      </c>
      <c r="I116" s="683"/>
      <c r="J116" s="685"/>
      <c r="K116" s="484"/>
      <c r="L116" s="484"/>
      <c r="M116" s="484"/>
      <c r="N116" s="484"/>
      <c r="O116" s="484"/>
      <c r="P116" s="685"/>
      <c r="Q116" s="685"/>
      <c r="R116" s="685"/>
    </row>
    <row r="117" spans="4:18" ht="18" customHeight="1">
      <c r="D117" s="510"/>
      <c r="E117" s="543" t="s">
        <v>611</v>
      </c>
      <c r="F117" s="514"/>
      <c r="G117" s="531"/>
      <c r="H117" s="531"/>
      <c r="I117" s="532">
        <v>100</v>
      </c>
      <c r="J117" s="533">
        <v>3</v>
      </c>
      <c r="K117" s="484"/>
      <c r="L117" s="484"/>
      <c r="M117" s="484"/>
      <c r="N117" s="484"/>
      <c r="O117" s="484"/>
      <c r="P117" s="484"/>
      <c r="Q117" s="484"/>
      <c r="R117" s="484"/>
    </row>
    <row r="118" spans="4:18" ht="32.25" customHeight="1">
      <c r="D118" s="505"/>
      <c r="E118" s="488" t="s">
        <v>610</v>
      </c>
      <c r="F118" s="481"/>
      <c r="G118" s="481"/>
      <c r="H118" s="481"/>
      <c r="I118" s="490">
        <v>99.3</v>
      </c>
      <c r="J118" s="490">
        <v>0</v>
      </c>
      <c r="K118" s="484"/>
      <c r="L118" s="484"/>
      <c r="M118" s="484"/>
      <c r="N118" s="484"/>
      <c r="O118" s="484"/>
      <c r="P118" s="484"/>
      <c r="Q118" s="484"/>
      <c r="R118" s="484"/>
    </row>
    <row r="119" spans="4:18" ht="41.25" customHeight="1">
      <c r="D119" s="505"/>
      <c r="E119" s="693" t="s">
        <v>810</v>
      </c>
      <c r="F119" s="694"/>
      <c r="G119" s="694"/>
      <c r="H119" s="694"/>
      <c r="I119" s="694"/>
      <c r="J119" s="694"/>
      <c r="K119" s="694"/>
      <c r="L119" s="694"/>
      <c r="M119" s="694"/>
      <c r="N119" s="694"/>
      <c r="O119" s="694"/>
      <c r="P119" s="694"/>
      <c r="Q119" s="694"/>
      <c r="R119" s="695"/>
    </row>
    <row r="120" spans="4:18" ht="39.75" customHeight="1">
      <c r="D120" s="505"/>
      <c r="E120" s="693" t="s">
        <v>756</v>
      </c>
      <c r="F120" s="694"/>
      <c r="G120" s="694"/>
      <c r="H120" s="694"/>
      <c r="I120" s="694"/>
      <c r="J120" s="694"/>
      <c r="K120" s="694"/>
      <c r="L120" s="694"/>
      <c r="M120" s="694"/>
      <c r="N120" s="694"/>
      <c r="O120" s="694"/>
      <c r="P120" s="694"/>
      <c r="Q120" s="694"/>
      <c r="R120" s="695"/>
    </row>
    <row r="121" spans="4:18" ht="46.5" customHeight="1">
      <c r="D121" s="505">
        <v>1</v>
      </c>
      <c r="E121" s="578" t="s">
        <v>703</v>
      </c>
      <c r="F121" s="514" t="s">
        <v>651</v>
      </c>
      <c r="G121" s="514">
        <v>100</v>
      </c>
      <c r="H121" s="514">
        <v>100</v>
      </c>
      <c r="I121" s="514"/>
      <c r="J121" s="514"/>
      <c r="K121" s="484"/>
      <c r="L121" s="484"/>
      <c r="M121" s="484"/>
      <c r="N121" s="484"/>
      <c r="O121" s="484"/>
      <c r="P121" s="484"/>
      <c r="Q121" s="484"/>
      <c r="R121" s="484"/>
    </row>
    <row r="122" spans="4:18" ht="46.5" customHeight="1">
      <c r="D122" s="505" t="s">
        <v>614</v>
      </c>
      <c r="E122" s="578" t="s">
        <v>704</v>
      </c>
      <c r="F122" s="514" t="s">
        <v>651</v>
      </c>
      <c r="G122" s="514">
        <v>100</v>
      </c>
      <c r="H122" s="514">
        <v>100</v>
      </c>
      <c r="I122" s="514"/>
      <c r="J122" s="514"/>
      <c r="K122" s="484"/>
      <c r="L122" s="484"/>
      <c r="M122" s="484"/>
      <c r="N122" s="484"/>
      <c r="O122" s="484"/>
      <c r="P122" s="484"/>
      <c r="Q122" s="484"/>
      <c r="R122" s="484"/>
    </row>
    <row r="123" spans="4:18" ht="36" customHeight="1">
      <c r="D123" s="505" t="s">
        <v>676</v>
      </c>
      <c r="E123" s="578" t="s">
        <v>757</v>
      </c>
      <c r="F123" s="514" t="s">
        <v>651</v>
      </c>
      <c r="G123" s="514">
        <v>98</v>
      </c>
      <c r="H123" s="514">
        <v>98</v>
      </c>
      <c r="I123" s="514"/>
      <c r="J123" s="514"/>
      <c r="K123" s="484"/>
      <c r="L123" s="484"/>
      <c r="M123" s="484"/>
      <c r="N123" s="484"/>
      <c r="O123" s="484"/>
      <c r="P123" s="484"/>
      <c r="Q123" s="484"/>
      <c r="R123" s="484"/>
    </row>
    <row r="124" spans="4:18" s="466" customFormat="1" ht="49.5" customHeight="1">
      <c r="D124" s="556" t="s">
        <v>699</v>
      </c>
      <c r="E124" s="579" t="s">
        <v>608</v>
      </c>
      <c r="F124" s="514" t="s">
        <v>622</v>
      </c>
      <c r="G124" s="514">
        <v>99.5</v>
      </c>
      <c r="H124" s="514">
        <v>100</v>
      </c>
      <c r="I124" s="514"/>
      <c r="J124" s="514"/>
      <c r="K124" s="514"/>
      <c r="L124" s="514"/>
      <c r="M124" s="514"/>
      <c r="N124" s="514"/>
      <c r="O124" s="514"/>
      <c r="P124" s="514"/>
      <c r="Q124" s="514"/>
      <c r="R124" s="514"/>
    </row>
    <row r="125" spans="4:18" ht="47.25" customHeight="1">
      <c r="D125" s="505" t="s">
        <v>700</v>
      </c>
      <c r="E125" s="578" t="s">
        <v>705</v>
      </c>
      <c r="F125" s="514" t="s">
        <v>14</v>
      </c>
      <c r="G125" s="514">
        <v>99.5</v>
      </c>
      <c r="H125" s="514">
        <v>100</v>
      </c>
      <c r="I125" s="514"/>
      <c r="J125" s="514"/>
      <c r="K125" s="484"/>
      <c r="L125" s="484"/>
      <c r="M125" s="484"/>
      <c r="N125" s="484"/>
      <c r="O125" s="484"/>
      <c r="P125" s="484"/>
      <c r="Q125" s="484"/>
      <c r="R125" s="484"/>
    </row>
    <row r="126" spans="4:18" ht="31.5" customHeight="1">
      <c r="D126" s="505" t="s">
        <v>701</v>
      </c>
      <c r="E126" s="580" t="s">
        <v>652</v>
      </c>
      <c r="F126" s="514" t="s">
        <v>14</v>
      </c>
      <c r="G126" s="514">
        <v>80</v>
      </c>
      <c r="H126" s="514">
        <v>80</v>
      </c>
      <c r="I126" s="514"/>
      <c r="J126" s="514"/>
      <c r="K126" s="484"/>
      <c r="L126" s="484"/>
      <c r="M126" s="484"/>
      <c r="N126" s="484"/>
      <c r="O126" s="484"/>
      <c r="P126" s="484"/>
      <c r="Q126" s="484"/>
      <c r="R126" s="484"/>
    </row>
    <row r="127" spans="4:18" ht="31.5" customHeight="1">
      <c r="D127" s="505" t="s">
        <v>702</v>
      </c>
      <c r="E127" s="580" t="s">
        <v>758</v>
      </c>
      <c r="F127" s="514" t="s">
        <v>14</v>
      </c>
      <c r="G127" s="514">
        <v>13</v>
      </c>
      <c r="H127" s="514">
        <v>13</v>
      </c>
      <c r="I127" s="514"/>
      <c r="J127" s="514"/>
      <c r="K127" s="484"/>
      <c r="L127" s="484"/>
      <c r="M127" s="484"/>
      <c r="N127" s="484"/>
      <c r="O127" s="484"/>
      <c r="P127" s="484"/>
      <c r="Q127" s="484"/>
      <c r="R127" s="484"/>
    </row>
    <row r="128" spans="4:18" ht="36" customHeight="1">
      <c r="D128" s="505" t="s">
        <v>706</v>
      </c>
      <c r="E128" s="581" t="s">
        <v>653</v>
      </c>
      <c r="F128" s="514" t="s">
        <v>14</v>
      </c>
      <c r="G128" s="514">
        <v>54</v>
      </c>
      <c r="H128" s="514">
        <v>54</v>
      </c>
      <c r="I128" s="514"/>
      <c r="J128" s="514"/>
      <c r="K128" s="484"/>
      <c r="L128" s="484"/>
      <c r="M128" s="484"/>
      <c r="N128" s="484"/>
      <c r="O128" s="484"/>
      <c r="P128" s="484"/>
      <c r="Q128" s="484"/>
      <c r="R128" s="484"/>
    </row>
    <row r="129" spans="4:18" ht="77.25" customHeight="1">
      <c r="D129" s="505" t="s">
        <v>759</v>
      </c>
      <c r="E129" s="581" t="s">
        <v>655</v>
      </c>
      <c r="F129" s="514" t="s">
        <v>14</v>
      </c>
      <c r="G129" s="545">
        <v>80</v>
      </c>
      <c r="H129" s="545">
        <v>80</v>
      </c>
      <c r="I129" s="514"/>
      <c r="J129" s="514"/>
      <c r="K129" s="484"/>
      <c r="L129" s="484"/>
      <c r="M129" s="484"/>
      <c r="N129" s="484"/>
      <c r="O129" s="484"/>
      <c r="P129" s="484"/>
      <c r="Q129" s="484"/>
      <c r="R129" s="484"/>
    </row>
    <row r="130" spans="4:18" ht="20.25" customHeight="1">
      <c r="D130" s="505"/>
      <c r="E130" s="488" t="s">
        <v>611</v>
      </c>
      <c r="F130" s="514"/>
      <c r="G130" s="531"/>
      <c r="H130" s="531"/>
      <c r="I130" s="532">
        <v>100</v>
      </c>
      <c r="J130" s="533">
        <v>3</v>
      </c>
      <c r="K130" s="488" t="s">
        <v>611</v>
      </c>
      <c r="L130" s="514"/>
      <c r="M130" s="531"/>
      <c r="N130" s="531"/>
      <c r="O130" s="532">
        <v>80</v>
      </c>
      <c r="P130" s="533"/>
      <c r="Q130" s="484"/>
      <c r="R130" s="484"/>
    </row>
    <row r="131" spans="4:18" ht="20.25" customHeight="1">
      <c r="D131" s="505"/>
      <c r="E131" s="488" t="s">
        <v>610</v>
      </c>
      <c r="F131" s="555"/>
      <c r="G131" s="555"/>
      <c r="H131" s="555"/>
      <c r="I131" s="490">
        <v>92.5</v>
      </c>
      <c r="J131" s="490">
        <v>1</v>
      </c>
      <c r="K131" s="488"/>
      <c r="L131" s="514"/>
      <c r="M131" s="531"/>
      <c r="N131" s="531"/>
      <c r="O131" s="532"/>
      <c r="P131" s="533"/>
      <c r="Q131" s="484"/>
      <c r="R131" s="484"/>
    </row>
    <row r="132" spans="4:18" ht="39.75" customHeight="1">
      <c r="D132" s="505"/>
      <c r="E132" s="679" t="s">
        <v>842</v>
      </c>
      <c r="F132" s="680"/>
      <c r="G132" s="680"/>
      <c r="H132" s="680"/>
      <c r="I132" s="680"/>
      <c r="J132" s="680"/>
      <c r="K132" s="680"/>
      <c r="L132" s="680"/>
      <c r="M132" s="680"/>
      <c r="N132" s="680"/>
      <c r="O132" s="680"/>
      <c r="P132" s="680"/>
      <c r="Q132" s="680"/>
      <c r="R132" s="681"/>
    </row>
    <row r="133" spans="4:18" ht="64.5" customHeight="1">
      <c r="D133" s="505"/>
      <c r="E133" s="679" t="s">
        <v>843</v>
      </c>
      <c r="F133" s="680"/>
      <c r="G133" s="680"/>
      <c r="H133" s="680"/>
      <c r="I133" s="680"/>
      <c r="J133" s="680"/>
      <c r="K133" s="680"/>
      <c r="L133" s="680"/>
      <c r="M133" s="680"/>
      <c r="N133" s="680"/>
      <c r="O133" s="680"/>
      <c r="P133" s="680"/>
      <c r="Q133" s="680"/>
      <c r="R133" s="681"/>
    </row>
    <row r="134" spans="4:18" ht="47.25" customHeight="1">
      <c r="D134" s="505" t="s">
        <v>609</v>
      </c>
      <c r="E134" s="646" t="s">
        <v>844</v>
      </c>
      <c r="F134" s="514" t="s">
        <v>14</v>
      </c>
      <c r="G134" s="555">
        <v>1.1</v>
      </c>
      <c r="H134" s="555">
        <v>1.1</v>
      </c>
      <c r="I134" s="490"/>
      <c r="J134" s="490"/>
      <c r="K134" s="488"/>
      <c r="L134" s="514"/>
      <c r="M134" s="531"/>
      <c r="N134" s="531"/>
      <c r="O134" s="532"/>
      <c r="P134" s="533"/>
      <c r="Q134" s="484"/>
      <c r="R134" s="484"/>
    </row>
    <row r="135" spans="4:18" ht="95.25" customHeight="1">
      <c r="D135" s="505" t="s">
        <v>614</v>
      </c>
      <c r="E135" s="646" t="s">
        <v>845</v>
      </c>
      <c r="F135" s="514" t="s">
        <v>14</v>
      </c>
      <c r="G135" s="555">
        <v>100</v>
      </c>
      <c r="H135" s="555">
        <v>100</v>
      </c>
      <c r="I135" s="490"/>
      <c r="J135" s="490"/>
      <c r="K135" s="488"/>
      <c r="L135" s="514"/>
      <c r="M135" s="531"/>
      <c r="N135" s="531"/>
      <c r="O135" s="532"/>
      <c r="P135" s="533"/>
      <c r="Q135" s="484"/>
      <c r="R135" s="484"/>
    </row>
    <row r="136" spans="4:18" ht="21.75" customHeight="1">
      <c r="D136" s="505"/>
      <c r="E136" s="488" t="s">
        <v>611</v>
      </c>
      <c r="F136" s="514"/>
      <c r="G136" s="531"/>
      <c r="H136" s="531"/>
      <c r="I136" s="532">
        <v>100</v>
      </c>
      <c r="J136" s="533">
        <v>3</v>
      </c>
      <c r="K136" s="488"/>
      <c r="L136" s="514"/>
      <c r="M136" s="531"/>
      <c r="N136" s="531"/>
      <c r="O136" s="532"/>
      <c r="P136" s="533"/>
      <c r="Q136" s="484"/>
      <c r="R136" s="484"/>
    </row>
    <row r="137" spans="4:18" ht="30" customHeight="1">
      <c r="D137" s="505"/>
      <c r="E137" s="488" t="s">
        <v>610</v>
      </c>
      <c r="F137" s="555"/>
      <c r="G137" s="555"/>
      <c r="H137" s="555"/>
      <c r="I137" s="490">
        <v>84.9</v>
      </c>
      <c r="J137" s="490">
        <v>1</v>
      </c>
      <c r="K137" s="488" t="s">
        <v>610</v>
      </c>
      <c r="L137" s="481"/>
      <c r="M137" s="481"/>
      <c r="N137" s="481"/>
      <c r="O137" s="490">
        <v>98.1</v>
      </c>
      <c r="P137" s="490"/>
      <c r="Q137" s="484"/>
      <c r="R137" s="484"/>
    </row>
    <row r="138" spans="4:18" ht="168" customHeight="1">
      <c r="D138" s="505"/>
      <c r="E138" s="633" t="s">
        <v>590</v>
      </c>
      <c r="F138" s="498"/>
      <c r="G138" s="484"/>
      <c r="H138" s="484"/>
      <c r="I138" s="514"/>
      <c r="J138" s="491" t="s">
        <v>846</v>
      </c>
      <c r="K138" s="514"/>
      <c r="L138" s="514"/>
      <c r="M138" s="514"/>
      <c r="N138" s="514"/>
      <c r="O138" s="514"/>
      <c r="P138" s="491" t="s">
        <v>847</v>
      </c>
      <c r="Q138" s="515" t="s">
        <v>848</v>
      </c>
      <c r="R138" s="491" t="s">
        <v>849</v>
      </c>
    </row>
    <row r="139" spans="4:21" ht="38.25" customHeight="1">
      <c r="D139" s="783" t="s">
        <v>811</v>
      </c>
      <c r="E139" s="783"/>
      <c r="F139" s="783"/>
      <c r="G139" s="783"/>
      <c r="H139" s="783"/>
      <c r="I139" s="783"/>
      <c r="J139" s="783"/>
      <c r="K139" s="783"/>
      <c r="L139" s="783"/>
      <c r="M139" s="783"/>
      <c r="N139" s="783"/>
      <c r="O139" s="783"/>
      <c r="P139" s="783"/>
      <c r="Q139" s="783"/>
      <c r="R139" s="783"/>
      <c r="S139" s="465"/>
      <c r="T139" s="465"/>
      <c r="U139" s="632">
        <v>7</v>
      </c>
    </row>
    <row r="140" spans="4:18" ht="25.5" customHeight="1">
      <c r="D140" s="498"/>
      <c r="E140" s="690" t="s">
        <v>807</v>
      </c>
      <c r="F140" s="718"/>
      <c r="G140" s="718"/>
      <c r="H140" s="718"/>
      <c r="I140" s="718"/>
      <c r="J140" s="718"/>
      <c r="K140" s="718"/>
      <c r="L140" s="718"/>
      <c r="M140" s="718"/>
      <c r="N140" s="718"/>
      <c r="O140" s="718"/>
      <c r="P140" s="718"/>
      <c r="Q140" s="718"/>
      <c r="R140" s="719"/>
    </row>
    <row r="141" spans="4:18" ht="33" customHeight="1">
      <c r="D141" s="497"/>
      <c r="E141" s="690" t="s">
        <v>808</v>
      </c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7"/>
    </row>
    <row r="142" spans="4:18" ht="32.25" customHeight="1">
      <c r="D142" s="505">
        <v>1</v>
      </c>
      <c r="E142" s="547" t="s">
        <v>636</v>
      </c>
      <c r="F142" s="522" t="s">
        <v>501</v>
      </c>
      <c r="G142" s="613">
        <v>759</v>
      </c>
      <c r="H142" s="453">
        <v>759</v>
      </c>
      <c r="I142" s="494"/>
      <c r="J142" s="494"/>
      <c r="K142" s="494"/>
      <c r="L142" s="494"/>
      <c r="M142" s="494"/>
      <c r="N142" s="494"/>
      <c r="O142" s="494"/>
      <c r="P142" s="494"/>
      <c r="Q142" s="494"/>
      <c r="R142" s="494"/>
    </row>
    <row r="143" spans="4:18" ht="62.25" customHeight="1">
      <c r="D143" s="505" t="s">
        <v>614</v>
      </c>
      <c r="E143" s="547" t="s">
        <v>637</v>
      </c>
      <c r="F143" s="522" t="s">
        <v>14</v>
      </c>
      <c r="G143" s="613">
        <v>90.4</v>
      </c>
      <c r="H143" s="613">
        <v>90.4</v>
      </c>
      <c r="I143" s="494"/>
      <c r="J143" s="494"/>
      <c r="K143" s="494"/>
      <c r="L143" s="494"/>
      <c r="M143" s="494"/>
      <c r="N143" s="494"/>
      <c r="O143" s="494"/>
      <c r="P143" s="494"/>
      <c r="Q143" s="494"/>
      <c r="R143" s="494"/>
    </row>
    <row r="144" spans="4:18" ht="15">
      <c r="D144" s="505"/>
      <c r="E144" s="488" t="s">
        <v>611</v>
      </c>
      <c r="F144" s="514"/>
      <c r="G144" s="484"/>
      <c r="H144" s="484"/>
      <c r="I144" s="533">
        <v>100</v>
      </c>
      <c r="J144" s="533">
        <v>3</v>
      </c>
      <c r="K144" s="484"/>
      <c r="L144" s="484"/>
      <c r="M144" s="484"/>
      <c r="N144" s="484"/>
      <c r="O144" s="484"/>
      <c r="P144" s="484"/>
      <c r="Q144" s="484"/>
      <c r="R144" s="484"/>
    </row>
    <row r="145" spans="4:18" ht="28.5">
      <c r="D145" s="505"/>
      <c r="E145" s="488" t="s">
        <v>610</v>
      </c>
      <c r="F145" s="514"/>
      <c r="G145" s="484"/>
      <c r="H145" s="484"/>
      <c r="I145" s="533">
        <v>99.5</v>
      </c>
      <c r="J145" s="533">
        <v>0</v>
      </c>
      <c r="K145" s="484"/>
      <c r="L145" s="484"/>
      <c r="M145" s="484"/>
      <c r="N145" s="484"/>
      <c r="O145" s="484"/>
      <c r="P145" s="484"/>
      <c r="Q145" s="484"/>
      <c r="R145" s="484"/>
    </row>
    <row r="146" spans="4:18" ht="15">
      <c r="D146" s="505"/>
      <c r="E146" s="704" t="s">
        <v>635</v>
      </c>
      <c r="F146" s="705"/>
      <c r="G146" s="705"/>
      <c r="H146" s="705"/>
      <c r="I146" s="705"/>
      <c r="J146" s="705"/>
      <c r="K146" s="705"/>
      <c r="L146" s="705"/>
      <c r="M146" s="705"/>
      <c r="N146" s="705"/>
      <c r="O146" s="705"/>
      <c r="P146" s="705"/>
      <c r="Q146" s="705"/>
      <c r="R146" s="706"/>
    </row>
    <row r="147" spans="4:18" ht="43.5" customHeight="1">
      <c r="D147" s="505"/>
      <c r="E147" s="704" t="s">
        <v>795</v>
      </c>
      <c r="F147" s="705"/>
      <c r="G147" s="705"/>
      <c r="H147" s="705"/>
      <c r="I147" s="705"/>
      <c r="J147" s="705"/>
      <c r="K147" s="705"/>
      <c r="L147" s="705"/>
      <c r="M147" s="705"/>
      <c r="N147" s="705"/>
      <c r="O147" s="705"/>
      <c r="P147" s="705"/>
      <c r="Q147" s="705"/>
      <c r="R147" s="706"/>
    </row>
    <row r="148" spans="4:18" ht="32.25" customHeight="1">
      <c r="D148" s="505">
        <v>1</v>
      </c>
      <c r="E148" s="547" t="s">
        <v>638</v>
      </c>
      <c r="F148" s="514" t="s">
        <v>605</v>
      </c>
      <c r="G148" s="484">
        <v>17220</v>
      </c>
      <c r="H148" s="484">
        <v>17220</v>
      </c>
      <c r="I148" s="484"/>
      <c r="J148" s="484"/>
      <c r="K148" s="484"/>
      <c r="L148" s="484"/>
      <c r="M148" s="484"/>
      <c r="N148" s="484"/>
      <c r="O148" s="484"/>
      <c r="P148" s="484"/>
      <c r="Q148" s="484"/>
      <c r="R148" s="484"/>
    </row>
    <row r="149" spans="4:18" ht="32.25" customHeight="1">
      <c r="D149" s="505">
        <v>2</v>
      </c>
      <c r="E149" s="547" t="s">
        <v>639</v>
      </c>
      <c r="F149" s="514" t="s">
        <v>605</v>
      </c>
      <c r="G149" s="484">
        <v>0.34</v>
      </c>
      <c r="H149" s="484">
        <v>0.34</v>
      </c>
      <c r="I149" s="484"/>
      <c r="J149" s="484"/>
      <c r="K149" s="484"/>
      <c r="L149" s="484"/>
      <c r="M149" s="484"/>
      <c r="N149" s="484"/>
      <c r="O149" s="484"/>
      <c r="P149" s="484"/>
      <c r="Q149" s="484"/>
      <c r="R149" s="484"/>
    </row>
    <row r="150" spans="4:18" ht="26.25" customHeight="1">
      <c r="D150" s="505">
        <v>3</v>
      </c>
      <c r="E150" s="547" t="s">
        <v>640</v>
      </c>
      <c r="F150" s="514" t="s">
        <v>14</v>
      </c>
      <c r="G150" s="484">
        <v>1.2</v>
      </c>
      <c r="H150" s="484">
        <v>0.8</v>
      </c>
      <c r="I150" s="484"/>
      <c r="J150" s="484"/>
      <c r="K150" s="484"/>
      <c r="L150" s="484"/>
      <c r="M150" s="484"/>
      <c r="N150" s="484"/>
      <c r="O150" s="484"/>
      <c r="P150" s="484"/>
      <c r="Q150" s="484"/>
      <c r="R150" s="484"/>
    </row>
    <row r="151" spans="4:18" ht="24.75" customHeight="1">
      <c r="D151" s="505">
        <v>4</v>
      </c>
      <c r="E151" s="547" t="s">
        <v>627</v>
      </c>
      <c r="F151" s="514" t="s">
        <v>14</v>
      </c>
      <c r="G151" s="484">
        <v>90.9</v>
      </c>
      <c r="H151" s="484">
        <v>86.4</v>
      </c>
      <c r="I151" s="484"/>
      <c r="J151" s="484"/>
      <c r="K151" s="484"/>
      <c r="L151" s="484"/>
      <c r="M151" s="484"/>
      <c r="N151" s="484"/>
      <c r="O151" s="484"/>
      <c r="P151" s="484"/>
      <c r="Q151" s="484"/>
      <c r="R151" s="484"/>
    </row>
    <row r="152" spans="4:18" ht="26.25" customHeight="1">
      <c r="D152" s="505">
        <v>5</v>
      </c>
      <c r="E152" s="547" t="s">
        <v>641</v>
      </c>
      <c r="F152" s="514" t="s">
        <v>14</v>
      </c>
      <c r="G152" s="484">
        <v>100</v>
      </c>
      <c r="H152" s="484">
        <v>100</v>
      </c>
      <c r="I152" s="484"/>
      <c r="J152" s="484"/>
      <c r="K152" s="484"/>
      <c r="L152" s="484"/>
      <c r="M152" s="484"/>
      <c r="N152" s="484"/>
      <c r="O152" s="484"/>
      <c r="P152" s="484"/>
      <c r="Q152" s="484"/>
      <c r="R152" s="484"/>
    </row>
    <row r="153" spans="4:18" ht="24" customHeight="1">
      <c r="D153" s="505">
        <v>6</v>
      </c>
      <c r="E153" s="547" t="s">
        <v>642</v>
      </c>
      <c r="F153" s="514" t="s">
        <v>605</v>
      </c>
      <c r="G153" s="484">
        <v>4.1</v>
      </c>
      <c r="H153" s="484">
        <v>2.5</v>
      </c>
      <c r="I153" s="484"/>
      <c r="J153" s="484"/>
      <c r="K153" s="484"/>
      <c r="L153" s="484"/>
      <c r="M153" s="484"/>
      <c r="N153" s="484"/>
      <c r="O153" s="484"/>
      <c r="P153" s="484"/>
      <c r="Q153" s="484"/>
      <c r="R153" s="484"/>
    </row>
    <row r="154" spans="4:18" ht="29.25" customHeight="1">
      <c r="D154" s="505">
        <v>7</v>
      </c>
      <c r="E154" s="547" t="s">
        <v>643</v>
      </c>
      <c r="F154" s="514" t="s">
        <v>14</v>
      </c>
      <c r="G154" s="484">
        <v>50</v>
      </c>
      <c r="H154" s="484">
        <v>50</v>
      </c>
      <c r="I154" s="484"/>
      <c r="J154" s="484"/>
      <c r="K154" s="484"/>
      <c r="L154" s="484"/>
      <c r="M154" s="484"/>
      <c r="N154" s="484"/>
      <c r="O154" s="484"/>
      <c r="P154" s="484"/>
      <c r="Q154" s="484"/>
      <c r="R154" s="484"/>
    </row>
    <row r="155" spans="4:18" ht="32.25" customHeight="1">
      <c r="D155" s="505">
        <v>8</v>
      </c>
      <c r="E155" s="547" t="s">
        <v>644</v>
      </c>
      <c r="F155" s="514" t="s">
        <v>605</v>
      </c>
      <c r="G155" s="484">
        <v>0.91</v>
      </c>
      <c r="H155" s="484">
        <v>0.89</v>
      </c>
      <c r="I155" s="484"/>
      <c r="J155" s="484"/>
      <c r="K155" s="484"/>
      <c r="L155" s="484"/>
      <c r="M155" s="484"/>
      <c r="N155" s="484"/>
      <c r="O155" s="484"/>
      <c r="P155" s="484"/>
      <c r="Q155" s="484"/>
      <c r="R155" s="484"/>
    </row>
    <row r="156" spans="4:18" ht="18" customHeight="1">
      <c r="D156" s="505"/>
      <c r="E156" s="488" t="s">
        <v>611</v>
      </c>
      <c r="F156" s="514"/>
      <c r="G156" s="531"/>
      <c r="H156" s="531"/>
      <c r="I156" s="532">
        <v>50</v>
      </c>
      <c r="J156" s="533">
        <v>1</v>
      </c>
      <c r="K156" s="484"/>
      <c r="L156" s="484"/>
      <c r="M156" s="484"/>
      <c r="N156" s="484"/>
      <c r="O156" s="484"/>
      <c r="P156" s="484"/>
      <c r="Q156" s="484"/>
      <c r="R156" s="484"/>
    </row>
    <row r="157" spans="4:18" ht="27.75" customHeight="1">
      <c r="D157" s="505"/>
      <c r="E157" s="488" t="s">
        <v>610</v>
      </c>
      <c r="F157" s="481"/>
      <c r="G157" s="481"/>
      <c r="H157" s="481"/>
      <c r="I157" s="491">
        <v>99.6</v>
      </c>
      <c r="J157" s="490">
        <v>0</v>
      </c>
      <c r="K157" s="484"/>
      <c r="L157" s="484"/>
      <c r="M157" s="484"/>
      <c r="N157" s="484"/>
      <c r="O157" s="484"/>
      <c r="P157" s="484"/>
      <c r="Q157" s="484"/>
      <c r="R157" s="484"/>
    </row>
    <row r="158" spans="4:18" ht="26.25" customHeight="1">
      <c r="D158" s="505"/>
      <c r="E158" s="690" t="s">
        <v>645</v>
      </c>
      <c r="F158" s="691"/>
      <c r="G158" s="691"/>
      <c r="H158" s="691"/>
      <c r="I158" s="691"/>
      <c r="J158" s="691"/>
      <c r="K158" s="691"/>
      <c r="L158" s="691"/>
      <c r="M158" s="691"/>
      <c r="N158" s="691"/>
      <c r="O158" s="691"/>
      <c r="P158" s="691"/>
      <c r="Q158" s="691"/>
      <c r="R158" s="692"/>
    </row>
    <row r="159" spans="4:18" ht="27" customHeight="1">
      <c r="D159" s="505"/>
      <c r="E159" s="690" t="s">
        <v>646</v>
      </c>
      <c r="F159" s="691"/>
      <c r="G159" s="691"/>
      <c r="H159" s="691"/>
      <c r="I159" s="691"/>
      <c r="J159" s="691"/>
      <c r="K159" s="691"/>
      <c r="L159" s="691"/>
      <c r="M159" s="691"/>
      <c r="N159" s="691"/>
      <c r="O159" s="691"/>
      <c r="P159" s="691"/>
      <c r="Q159" s="691"/>
      <c r="R159" s="692"/>
    </row>
    <row r="160" spans="4:18" ht="63.75" customHeight="1">
      <c r="D160" s="505">
        <v>1</v>
      </c>
      <c r="E160" s="546" t="s">
        <v>857</v>
      </c>
      <c r="F160" s="481" t="s">
        <v>14</v>
      </c>
      <c r="G160" s="514">
        <v>73.8</v>
      </c>
      <c r="H160" s="514">
        <v>73.8</v>
      </c>
      <c r="I160" s="490"/>
      <c r="J160" s="490"/>
      <c r="K160" s="484"/>
      <c r="L160" s="484"/>
      <c r="M160" s="484"/>
      <c r="N160" s="484"/>
      <c r="O160" s="484"/>
      <c r="P160" s="484"/>
      <c r="Q160" s="484"/>
      <c r="R160" s="484"/>
    </row>
    <row r="161" spans="4:18" ht="37.5" customHeight="1">
      <c r="D161" s="505">
        <v>2</v>
      </c>
      <c r="E161" s="547" t="s">
        <v>628</v>
      </c>
      <c r="F161" s="481" t="s">
        <v>14</v>
      </c>
      <c r="G161" s="514">
        <v>100</v>
      </c>
      <c r="H161" s="514">
        <v>100</v>
      </c>
      <c r="I161" s="490"/>
      <c r="J161" s="490"/>
      <c r="K161" s="484"/>
      <c r="L161" s="484"/>
      <c r="M161" s="484"/>
      <c r="N161" s="484"/>
      <c r="O161" s="484"/>
      <c r="P161" s="484"/>
      <c r="Q161" s="484"/>
      <c r="R161" s="484"/>
    </row>
    <row r="162" spans="4:18" ht="17.25" customHeight="1">
      <c r="D162" s="505"/>
      <c r="E162" s="488" t="s">
        <v>611</v>
      </c>
      <c r="F162" s="514"/>
      <c r="G162" s="531"/>
      <c r="H162" s="531"/>
      <c r="I162" s="532">
        <v>100</v>
      </c>
      <c r="J162" s="533">
        <v>3</v>
      </c>
      <c r="K162" s="484"/>
      <c r="L162" s="484"/>
      <c r="M162" s="484"/>
      <c r="N162" s="484"/>
      <c r="O162" s="484"/>
      <c r="P162" s="484"/>
      <c r="Q162" s="484"/>
      <c r="R162" s="484"/>
    </row>
    <row r="163" spans="4:18" ht="27.75" customHeight="1">
      <c r="D163" s="505"/>
      <c r="E163" s="488" t="s">
        <v>610</v>
      </c>
      <c r="F163" s="481"/>
      <c r="G163" s="481"/>
      <c r="H163" s="481"/>
      <c r="I163" s="491">
        <v>99.2</v>
      </c>
      <c r="J163" s="490">
        <v>0</v>
      </c>
      <c r="K163" s="484"/>
      <c r="L163" s="484"/>
      <c r="M163" s="484"/>
      <c r="N163" s="484"/>
      <c r="O163" s="484"/>
      <c r="P163" s="484"/>
      <c r="Q163" s="484"/>
      <c r="R163" s="484"/>
    </row>
    <row r="164" spans="4:18" ht="70.5" customHeight="1">
      <c r="D164" s="505"/>
      <c r="E164" s="633" t="s">
        <v>590</v>
      </c>
      <c r="F164" s="498"/>
      <c r="G164" s="484"/>
      <c r="H164" s="484"/>
      <c r="I164" s="484"/>
      <c r="J164" s="491" t="s">
        <v>776</v>
      </c>
      <c r="K164" s="514"/>
      <c r="L164" s="514"/>
      <c r="M164" s="514"/>
      <c r="N164" s="514"/>
      <c r="O164" s="514"/>
      <c r="P164" s="491" t="s">
        <v>777</v>
      </c>
      <c r="Q164" s="515" t="s">
        <v>664</v>
      </c>
      <c r="R164" s="491" t="s">
        <v>663</v>
      </c>
    </row>
    <row r="165" spans="4:21" ht="27.75" customHeight="1">
      <c r="D165" s="787" t="s">
        <v>814</v>
      </c>
      <c r="E165" s="787"/>
      <c r="F165" s="787"/>
      <c r="G165" s="787"/>
      <c r="H165" s="787"/>
      <c r="I165" s="787"/>
      <c r="J165" s="787"/>
      <c r="K165" s="787"/>
      <c r="L165" s="787"/>
      <c r="M165" s="787"/>
      <c r="N165" s="787"/>
      <c r="O165" s="787"/>
      <c r="P165" s="787"/>
      <c r="Q165" s="787"/>
      <c r="R165" s="787"/>
      <c r="S165" s="465"/>
      <c r="U165" s="632">
        <v>8</v>
      </c>
    </row>
    <row r="166" spans="4:18" ht="38.25" customHeight="1">
      <c r="D166" s="498"/>
      <c r="E166" s="686" t="s">
        <v>806</v>
      </c>
      <c r="F166" s="686"/>
      <c r="G166" s="686"/>
      <c r="H166" s="686"/>
      <c r="I166" s="686"/>
      <c r="J166" s="686"/>
      <c r="K166" s="686"/>
      <c r="L166" s="686"/>
      <c r="M166" s="686"/>
      <c r="N166" s="686"/>
      <c r="O166" s="686"/>
      <c r="P166" s="686"/>
      <c r="Q166" s="686"/>
      <c r="R166" s="686"/>
    </row>
    <row r="167" spans="4:18" ht="30.75" customHeight="1">
      <c r="D167" s="497"/>
      <c r="E167" s="676" t="s">
        <v>707</v>
      </c>
      <c r="F167" s="677"/>
      <c r="G167" s="677"/>
      <c r="H167" s="677"/>
      <c r="I167" s="677"/>
      <c r="J167" s="677"/>
      <c r="K167" s="677"/>
      <c r="L167" s="677"/>
      <c r="M167" s="677"/>
      <c r="N167" s="677"/>
      <c r="O167" s="677"/>
      <c r="P167" s="677"/>
      <c r="Q167" s="677"/>
      <c r="R167" s="678"/>
    </row>
    <row r="168" spans="4:21" ht="63" customHeight="1">
      <c r="D168" s="505">
        <v>1</v>
      </c>
      <c r="E168" s="547" t="s">
        <v>631</v>
      </c>
      <c r="F168" s="528" t="s">
        <v>516</v>
      </c>
      <c r="G168" s="548">
        <v>80</v>
      </c>
      <c r="H168" s="548">
        <v>59</v>
      </c>
      <c r="I168" s="549"/>
      <c r="J168" s="529"/>
      <c r="K168" s="485"/>
      <c r="L168" s="485"/>
      <c r="M168" s="485"/>
      <c r="N168" s="485"/>
      <c r="O168" s="485"/>
      <c r="P168" s="485"/>
      <c r="Q168" s="485"/>
      <c r="R168" s="485"/>
      <c r="U168" s="256" t="s">
        <v>375</v>
      </c>
    </row>
    <row r="169" spans="4:18" ht="33.75" customHeight="1">
      <c r="D169" s="505">
        <v>2</v>
      </c>
      <c r="E169" s="547" t="s">
        <v>632</v>
      </c>
      <c r="F169" s="528" t="s">
        <v>516</v>
      </c>
      <c r="G169" s="548">
        <v>50</v>
      </c>
      <c r="H169" s="548">
        <v>50</v>
      </c>
      <c r="I169" s="549"/>
      <c r="J169" s="529"/>
      <c r="K169" s="485"/>
      <c r="L169" s="485"/>
      <c r="M169" s="485"/>
      <c r="N169" s="485"/>
      <c r="O169" s="485"/>
      <c r="P169" s="485"/>
      <c r="Q169" s="485"/>
      <c r="R169" s="485"/>
    </row>
    <row r="170" spans="4:18" ht="43.5" customHeight="1">
      <c r="D170" s="505">
        <v>3</v>
      </c>
      <c r="E170" s="547" t="s">
        <v>633</v>
      </c>
      <c r="F170" s="528" t="s">
        <v>516</v>
      </c>
      <c r="G170" s="548">
        <v>10</v>
      </c>
      <c r="H170" s="548">
        <v>7</v>
      </c>
      <c r="I170" s="549"/>
      <c r="J170" s="529"/>
      <c r="K170" s="485"/>
      <c r="L170" s="485"/>
      <c r="M170" s="485"/>
      <c r="N170" s="485"/>
      <c r="O170" s="485"/>
      <c r="P170" s="485"/>
      <c r="Q170" s="485"/>
      <c r="R170" s="485"/>
    </row>
    <row r="171" spans="4:18" ht="18.75" customHeight="1">
      <c r="D171" s="505"/>
      <c r="E171" s="488" t="s">
        <v>611</v>
      </c>
      <c r="F171" s="514"/>
      <c r="G171" s="531"/>
      <c r="H171" s="531"/>
      <c r="I171" s="532">
        <v>33.3</v>
      </c>
      <c r="J171" s="533">
        <v>1</v>
      </c>
      <c r="K171" s="485"/>
      <c r="L171" s="485"/>
      <c r="M171" s="485"/>
      <c r="N171" s="485"/>
      <c r="O171" s="485"/>
      <c r="P171" s="485"/>
      <c r="Q171" s="485"/>
      <c r="R171" s="485"/>
    </row>
    <row r="172" spans="4:18" ht="29.25" customHeight="1">
      <c r="D172" s="505"/>
      <c r="E172" s="488" t="s">
        <v>610</v>
      </c>
      <c r="F172" s="481"/>
      <c r="G172" s="481"/>
      <c r="H172" s="481"/>
      <c r="I172" s="491">
        <v>99.7</v>
      </c>
      <c r="J172" s="490">
        <v>0</v>
      </c>
      <c r="K172" s="485"/>
      <c r="L172" s="485"/>
      <c r="M172" s="485"/>
      <c r="N172" s="485"/>
      <c r="O172" s="485"/>
      <c r="P172" s="485"/>
      <c r="Q172" s="485"/>
      <c r="R172" s="485"/>
    </row>
    <row r="173" spans="4:18" ht="101.25" customHeight="1">
      <c r="D173" s="500"/>
      <c r="E173" s="633" t="s">
        <v>590</v>
      </c>
      <c r="F173" s="498"/>
      <c r="G173" s="484"/>
      <c r="H173" s="484"/>
      <c r="I173" s="484"/>
      <c r="J173" s="491" t="s">
        <v>694</v>
      </c>
      <c r="K173" s="484"/>
      <c r="L173" s="484"/>
      <c r="M173" s="485"/>
      <c r="N173" s="485"/>
      <c r="O173" s="485"/>
      <c r="P173" s="491" t="s">
        <v>854</v>
      </c>
      <c r="Q173" s="515" t="s">
        <v>708</v>
      </c>
      <c r="R173" s="491" t="s">
        <v>709</v>
      </c>
    </row>
    <row r="174" spans="4:21" ht="38.25" customHeight="1">
      <c r="D174" s="788" t="s">
        <v>815</v>
      </c>
      <c r="E174" s="788"/>
      <c r="F174" s="788"/>
      <c r="G174" s="788"/>
      <c r="H174" s="788"/>
      <c r="I174" s="788"/>
      <c r="J174" s="788"/>
      <c r="K174" s="788"/>
      <c r="L174" s="788"/>
      <c r="M174" s="788"/>
      <c r="N174" s="788"/>
      <c r="O174" s="788"/>
      <c r="P174" s="788"/>
      <c r="Q174" s="788"/>
      <c r="R174" s="788"/>
      <c r="T174" s="635"/>
      <c r="U174" s="636">
        <v>9</v>
      </c>
    </row>
    <row r="175" spans="4:18" ht="27.75" customHeight="1">
      <c r="D175" s="553"/>
      <c r="E175" s="686" t="s">
        <v>796</v>
      </c>
      <c r="F175" s="686"/>
      <c r="G175" s="686"/>
      <c r="H175" s="686"/>
      <c r="I175" s="686"/>
      <c r="J175" s="686"/>
      <c r="K175" s="686"/>
      <c r="L175" s="686"/>
      <c r="M175" s="686"/>
      <c r="N175" s="686"/>
      <c r="O175" s="686"/>
      <c r="P175" s="686"/>
      <c r="Q175" s="686"/>
      <c r="R175" s="686"/>
    </row>
    <row r="176" spans="4:18" ht="30.75" customHeight="1" thickBot="1">
      <c r="D176" s="550"/>
      <c r="E176" s="686" t="s">
        <v>710</v>
      </c>
      <c r="F176" s="720"/>
      <c r="G176" s="720"/>
      <c r="H176" s="720"/>
      <c r="I176" s="720"/>
      <c r="J176" s="720"/>
      <c r="K176" s="720"/>
      <c r="L176" s="720"/>
      <c r="M176" s="720"/>
      <c r="N176" s="720"/>
      <c r="O176" s="720"/>
      <c r="P176" s="720"/>
      <c r="Q176" s="720"/>
      <c r="R176" s="720"/>
    </row>
    <row r="177" spans="4:18" ht="17.25" customHeight="1" thickBot="1">
      <c r="D177" s="505">
        <v>1</v>
      </c>
      <c r="E177" s="547" t="s">
        <v>665</v>
      </c>
      <c r="F177" s="584" t="s">
        <v>713</v>
      </c>
      <c r="G177" s="560">
        <v>6</v>
      </c>
      <c r="H177" s="566">
        <v>7</v>
      </c>
      <c r="I177" s="552"/>
      <c r="J177" s="551"/>
      <c r="K177" s="485"/>
      <c r="L177" s="485"/>
      <c r="M177" s="485"/>
      <c r="N177" s="485"/>
      <c r="O177" s="485"/>
      <c r="P177" s="485"/>
      <c r="Q177" s="485"/>
      <c r="R177" s="485"/>
    </row>
    <row r="178" spans="4:18" ht="33" customHeight="1" thickBot="1">
      <c r="D178" s="505" t="s">
        <v>614</v>
      </c>
      <c r="E178" s="547" t="s">
        <v>711</v>
      </c>
      <c r="F178" s="528" t="s">
        <v>14</v>
      </c>
      <c r="G178" s="561">
        <v>2.1</v>
      </c>
      <c r="H178" s="624">
        <v>2.1</v>
      </c>
      <c r="I178" s="572"/>
      <c r="J178" s="574"/>
      <c r="K178" s="485"/>
      <c r="L178" s="485"/>
      <c r="M178" s="485"/>
      <c r="N178" s="485"/>
      <c r="O178" s="485"/>
      <c r="P178" s="485"/>
      <c r="Q178" s="485"/>
      <c r="R178" s="485"/>
    </row>
    <row r="179" spans="4:18" ht="78.75" customHeight="1" thickBot="1">
      <c r="D179" s="505" t="s">
        <v>676</v>
      </c>
      <c r="E179" s="547" t="s">
        <v>712</v>
      </c>
      <c r="F179" s="528" t="s">
        <v>14</v>
      </c>
      <c r="G179" s="561">
        <v>1.4</v>
      </c>
      <c r="H179" s="624">
        <v>1.4</v>
      </c>
      <c r="I179" s="572"/>
      <c r="J179" s="574"/>
      <c r="K179" s="485"/>
      <c r="L179" s="485"/>
      <c r="M179" s="485"/>
      <c r="N179" s="485"/>
      <c r="O179" s="485"/>
      <c r="P179" s="485"/>
      <c r="Q179" s="485"/>
      <c r="R179" s="485"/>
    </row>
    <row r="180" spans="4:18" ht="16.5" customHeight="1">
      <c r="D180" s="505"/>
      <c r="E180" s="488" t="s">
        <v>611</v>
      </c>
      <c r="F180" s="514"/>
      <c r="G180" s="585"/>
      <c r="H180" s="585"/>
      <c r="I180" s="532">
        <v>100</v>
      </c>
      <c r="J180" s="533">
        <v>3</v>
      </c>
      <c r="K180" s="485"/>
      <c r="L180" s="485"/>
      <c r="M180" s="485"/>
      <c r="N180" s="485"/>
      <c r="O180" s="485"/>
      <c r="P180" s="485"/>
      <c r="Q180" s="485"/>
      <c r="R180" s="485"/>
    </row>
    <row r="181" spans="4:18" ht="28.5">
      <c r="D181" s="505"/>
      <c r="E181" s="488" t="s">
        <v>610</v>
      </c>
      <c r="F181" s="554"/>
      <c r="G181" s="554"/>
      <c r="H181" s="554"/>
      <c r="I181" s="491">
        <v>100</v>
      </c>
      <c r="J181" s="490">
        <v>0</v>
      </c>
      <c r="K181" s="485"/>
      <c r="L181" s="485"/>
      <c r="M181" s="485"/>
      <c r="N181" s="485"/>
      <c r="O181" s="485"/>
      <c r="P181" s="485"/>
      <c r="Q181" s="485"/>
      <c r="R181" s="485"/>
    </row>
    <row r="182" spans="4:18" ht="32.25" customHeight="1">
      <c r="D182" s="553"/>
      <c r="E182" s="686" t="s">
        <v>797</v>
      </c>
      <c r="F182" s="686"/>
      <c r="G182" s="686"/>
      <c r="H182" s="686"/>
      <c r="I182" s="686"/>
      <c r="J182" s="686"/>
      <c r="K182" s="686"/>
      <c r="L182" s="686"/>
      <c r="M182" s="686"/>
      <c r="N182" s="686"/>
      <c r="O182" s="686"/>
      <c r="P182" s="686"/>
      <c r="Q182" s="686"/>
      <c r="R182" s="686"/>
    </row>
    <row r="183" spans="4:18" ht="32.25" customHeight="1" thickBot="1">
      <c r="D183" s="550"/>
      <c r="E183" s="676" t="s">
        <v>714</v>
      </c>
      <c r="F183" s="677"/>
      <c r="G183" s="677"/>
      <c r="H183" s="677"/>
      <c r="I183" s="677"/>
      <c r="J183" s="677"/>
      <c r="K183" s="677"/>
      <c r="L183" s="677"/>
      <c r="M183" s="677"/>
      <c r="N183" s="677"/>
      <c r="O183" s="677"/>
      <c r="P183" s="677"/>
      <c r="Q183" s="677"/>
      <c r="R183" s="678"/>
    </row>
    <row r="184" spans="4:18" ht="31.5" customHeight="1" thickBot="1">
      <c r="D184" s="505">
        <v>1</v>
      </c>
      <c r="E184" s="547" t="s">
        <v>666</v>
      </c>
      <c r="F184" s="528" t="s">
        <v>605</v>
      </c>
      <c r="G184" s="560">
        <v>1</v>
      </c>
      <c r="H184" s="566">
        <v>1</v>
      </c>
      <c r="I184" s="552"/>
      <c r="J184" s="551"/>
      <c r="K184" s="485"/>
      <c r="L184" s="485"/>
      <c r="M184" s="485"/>
      <c r="N184" s="485"/>
      <c r="O184" s="485"/>
      <c r="P184" s="485"/>
      <c r="Q184" s="485"/>
      <c r="R184" s="485"/>
    </row>
    <row r="185" spans="4:18" ht="31.5" customHeight="1" thickBot="1">
      <c r="D185" s="505" t="s">
        <v>614</v>
      </c>
      <c r="E185" s="586" t="s">
        <v>715</v>
      </c>
      <c r="F185" s="528" t="s">
        <v>716</v>
      </c>
      <c r="G185" s="647">
        <v>10000</v>
      </c>
      <c r="H185" s="648">
        <v>10000</v>
      </c>
      <c r="I185" s="572"/>
      <c r="J185" s="574"/>
      <c r="K185" s="485"/>
      <c r="L185" s="485"/>
      <c r="M185" s="485"/>
      <c r="N185" s="485"/>
      <c r="O185" s="485"/>
      <c r="P185" s="485"/>
      <c r="Q185" s="485"/>
      <c r="R185" s="485"/>
    </row>
    <row r="186" spans="4:18" ht="19.5" customHeight="1">
      <c r="D186" s="505"/>
      <c r="E186" s="488" t="s">
        <v>611</v>
      </c>
      <c r="F186" s="514"/>
      <c r="G186" s="585"/>
      <c r="H186" s="585"/>
      <c r="I186" s="532">
        <v>100</v>
      </c>
      <c r="J186" s="533">
        <v>3</v>
      </c>
      <c r="K186" s="485"/>
      <c r="L186" s="485"/>
      <c r="M186" s="485"/>
      <c r="N186" s="485"/>
      <c r="O186" s="485"/>
      <c r="P186" s="485"/>
      <c r="Q186" s="485"/>
      <c r="R186" s="485"/>
    </row>
    <row r="187" spans="4:18" ht="28.5">
      <c r="D187" s="505"/>
      <c r="E187" s="488" t="s">
        <v>610</v>
      </c>
      <c r="F187" s="554"/>
      <c r="G187" s="554"/>
      <c r="H187" s="554"/>
      <c r="I187" s="491">
        <v>100</v>
      </c>
      <c r="J187" s="490">
        <v>0</v>
      </c>
      <c r="K187" s="485"/>
      <c r="L187" s="485"/>
      <c r="M187" s="485"/>
      <c r="N187" s="485"/>
      <c r="O187" s="485"/>
      <c r="P187" s="485"/>
      <c r="Q187" s="485"/>
      <c r="R187" s="485"/>
    </row>
    <row r="188" spans="4:18" ht="69" customHeight="1">
      <c r="D188" s="500"/>
      <c r="E188" s="633" t="s">
        <v>590</v>
      </c>
      <c r="F188" s="553"/>
      <c r="G188" s="484"/>
      <c r="H188" s="484"/>
      <c r="I188" s="484"/>
      <c r="J188" s="491" t="s">
        <v>850</v>
      </c>
      <c r="K188" s="484"/>
      <c r="L188" s="484"/>
      <c r="M188" s="485"/>
      <c r="N188" s="485"/>
      <c r="O188" s="485"/>
      <c r="P188" s="491" t="s">
        <v>851</v>
      </c>
      <c r="Q188" s="515" t="s">
        <v>852</v>
      </c>
      <c r="R188" s="491" t="s">
        <v>630</v>
      </c>
    </row>
    <row r="189" spans="4:21" ht="45" customHeight="1">
      <c r="D189" s="788" t="s">
        <v>816</v>
      </c>
      <c r="E189" s="788"/>
      <c r="F189" s="788"/>
      <c r="G189" s="788"/>
      <c r="H189" s="788"/>
      <c r="I189" s="788"/>
      <c r="J189" s="788"/>
      <c r="K189" s="788"/>
      <c r="L189" s="788"/>
      <c r="M189" s="788"/>
      <c r="N189" s="788"/>
      <c r="O189" s="788"/>
      <c r="P189" s="788"/>
      <c r="Q189" s="788"/>
      <c r="R189" s="788"/>
      <c r="U189" s="632">
        <v>10</v>
      </c>
    </row>
    <row r="190" spans="4:18" ht="42" customHeight="1">
      <c r="D190" s="575"/>
      <c r="E190" s="686" t="s">
        <v>798</v>
      </c>
      <c r="F190" s="686"/>
      <c r="G190" s="686"/>
      <c r="H190" s="686"/>
      <c r="I190" s="686"/>
      <c r="J190" s="686"/>
      <c r="K190" s="686"/>
      <c r="L190" s="686"/>
      <c r="M190" s="686"/>
      <c r="N190" s="686"/>
      <c r="O190" s="686"/>
      <c r="P190" s="686"/>
      <c r="Q190" s="686"/>
      <c r="R190" s="686"/>
    </row>
    <row r="191" spans="4:18" ht="39" customHeight="1" thickBot="1">
      <c r="D191" s="573"/>
      <c r="E191" s="676" t="s">
        <v>717</v>
      </c>
      <c r="F191" s="677"/>
      <c r="G191" s="677"/>
      <c r="H191" s="677"/>
      <c r="I191" s="677"/>
      <c r="J191" s="677"/>
      <c r="K191" s="677"/>
      <c r="L191" s="677"/>
      <c r="M191" s="677"/>
      <c r="N191" s="677"/>
      <c r="O191" s="677"/>
      <c r="P191" s="677"/>
      <c r="Q191" s="677"/>
      <c r="R191" s="678"/>
    </row>
    <row r="192" spans="4:18" ht="48" customHeight="1" thickBot="1">
      <c r="D192" s="556" t="s">
        <v>609</v>
      </c>
      <c r="E192" s="593" t="s">
        <v>799</v>
      </c>
      <c r="F192" s="588" t="s">
        <v>14</v>
      </c>
      <c r="G192" s="560">
        <v>100</v>
      </c>
      <c r="H192" s="566">
        <v>100</v>
      </c>
      <c r="I192" s="615"/>
      <c r="J192" s="615"/>
      <c r="K192" s="615"/>
      <c r="L192" s="615"/>
      <c r="M192" s="615"/>
      <c r="N192" s="615"/>
      <c r="O192" s="615"/>
      <c r="P192" s="615"/>
      <c r="Q192" s="615"/>
      <c r="R192" s="615"/>
    </row>
    <row r="193" spans="4:18" ht="48" customHeight="1" thickBot="1">
      <c r="D193" s="556" t="s">
        <v>614</v>
      </c>
      <c r="E193" s="595" t="s">
        <v>800</v>
      </c>
      <c r="F193" s="588" t="s">
        <v>14</v>
      </c>
      <c r="G193" s="561">
        <v>34</v>
      </c>
      <c r="H193" s="588">
        <v>49.9</v>
      </c>
      <c r="I193" s="615"/>
      <c r="J193" s="615"/>
      <c r="K193" s="615"/>
      <c r="L193" s="615"/>
      <c r="M193" s="615"/>
      <c r="N193" s="615"/>
      <c r="O193" s="615"/>
      <c r="P193" s="615"/>
      <c r="Q193" s="615"/>
      <c r="R193" s="615"/>
    </row>
    <row r="194" spans="4:18" ht="51.75" customHeight="1" thickBot="1">
      <c r="D194" s="556" t="s">
        <v>676</v>
      </c>
      <c r="E194" s="595" t="s">
        <v>801</v>
      </c>
      <c r="F194" s="588" t="s">
        <v>14</v>
      </c>
      <c r="G194" s="561">
        <v>80</v>
      </c>
      <c r="H194" s="588">
        <v>88</v>
      </c>
      <c r="I194" s="615"/>
      <c r="J194" s="615"/>
      <c r="K194" s="615"/>
      <c r="L194" s="615"/>
      <c r="M194" s="615"/>
      <c r="N194" s="615"/>
      <c r="O194" s="615"/>
      <c r="P194" s="615"/>
      <c r="Q194" s="615"/>
      <c r="R194" s="615"/>
    </row>
    <row r="195" spans="4:18" ht="29.25" customHeight="1" thickBot="1">
      <c r="D195" s="505" t="s">
        <v>699</v>
      </c>
      <c r="E195" s="627" t="s">
        <v>718</v>
      </c>
      <c r="F195" s="588" t="s">
        <v>14</v>
      </c>
      <c r="G195" s="560">
        <v>28</v>
      </c>
      <c r="H195" s="566">
        <v>28</v>
      </c>
      <c r="I195" s="625"/>
      <c r="J195" s="614"/>
      <c r="K195" s="626"/>
      <c r="L195" s="626"/>
      <c r="M195" s="626"/>
      <c r="N195" s="626"/>
      <c r="O195" s="626"/>
      <c r="P195" s="626"/>
      <c r="Q195" s="626"/>
      <c r="R195" s="626"/>
    </row>
    <row r="196" spans="4:18" ht="26.25" customHeight="1" thickBot="1">
      <c r="D196" s="505" t="s">
        <v>700</v>
      </c>
      <c r="E196" s="627" t="s">
        <v>719</v>
      </c>
      <c r="F196" s="588" t="s">
        <v>14</v>
      </c>
      <c r="G196" s="561">
        <v>57</v>
      </c>
      <c r="H196" s="588">
        <v>58</v>
      </c>
      <c r="I196" s="572"/>
      <c r="J196" s="574"/>
      <c r="K196" s="485"/>
      <c r="L196" s="485"/>
      <c r="M196" s="485"/>
      <c r="N196" s="485"/>
      <c r="O196" s="485"/>
      <c r="P196" s="485"/>
      <c r="Q196" s="485"/>
      <c r="R196" s="485"/>
    </row>
    <row r="197" spans="4:18" ht="24.75" customHeight="1" thickBot="1">
      <c r="D197" s="505" t="s">
        <v>701</v>
      </c>
      <c r="E197" s="627" t="s">
        <v>720</v>
      </c>
      <c r="F197" s="588" t="s">
        <v>14</v>
      </c>
      <c r="G197" s="561">
        <v>72</v>
      </c>
      <c r="H197" s="588">
        <v>73</v>
      </c>
      <c r="I197" s="572"/>
      <c r="J197" s="574"/>
      <c r="K197" s="485"/>
      <c r="L197" s="485"/>
      <c r="M197" s="485"/>
      <c r="N197" s="485"/>
      <c r="O197" s="485"/>
      <c r="P197" s="485"/>
      <c r="Q197" s="485"/>
      <c r="R197" s="485"/>
    </row>
    <row r="198" spans="4:18" ht="25.5" customHeight="1" thickBot="1">
      <c r="D198" s="505" t="s">
        <v>702</v>
      </c>
      <c r="E198" s="595" t="s">
        <v>721</v>
      </c>
      <c r="F198" s="588" t="s">
        <v>778</v>
      </c>
      <c r="G198" s="561">
        <v>1.06</v>
      </c>
      <c r="H198" s="588">
        <v>2.12</v>
      </c>
      <c r="I198" s="572"/>
      <c r="J198" s="574"/>
      <c r="K198" s="485"/>
      <c r="L198" s="485"/>
      <c r="M198" s="485"/>
      <c r="N198" s="485"/>
      <c r="O198" s="485"/>
      <c r="P198" s="485"/>
      <c r="Q198" s="485"/>
      <c r="R198" s="485"/>
    </row>
    <row r="199" spans="4:18" ht="24.75" customHeight="1" thickBot="1">
      <c r="D199" s="505" t="s">
        <v>706</v>
      </c>
      <c r="E199" s="595" t="s">
        <v>722</v>
      </c>
      <c r="F199" s="588" t="s">
        <v>778</v>
      </c>
      <c r="G199" s="561">
        <v>0.5</v>
      </c>
      <c r="H199" s="588">
        <v>0</v>
      </c>
      <c r="I199" s="572"/>
      <c r="J199" s="574"/>
      <c r="K199" s="485"/>
      <c r="L199" s="485"/>
      <c r="M199" s="485"/>
      <c r="N199" s="485"/>
      <c r="O199" s="485"/>
      <c r="P199" s="485"/>
      <c r="Q199" s="485"/>
      <c r="R199" s="485"/>
    </row>
    <row r="200" spans="4:18" ht="30.75" customHeight="1" thickBot="1">
      <c r="D200" s="505" t="s">
        <v>759</v>
      </c>
      <c r="E200" s="595" t="s">
        <v>723</v>
      </c>
      <c r="F200" s="588" t="s">
        <v>778</v>
      </c>
      <c r="G200" s="561">
        <v>8</v>
      </c>
      <c r="H200" s="588">
        <v>8.2</v>
      </c>
      <c r="I200" s="572"/>
      <c r="J200" s="574"/>
      <c r="K200" s="485"/>
      <c r="L200" s="485"/>
      <c r="M200" s="485"/>
      <c r="N200" s="485"/>
      <c r="O200" s="485"/>
      <c r="P200" s="485"/>
      <c r="Q200" s="485"/>
      <c r="R200" s="485"/>
    </row>
    <row r="201" spans="4:18" ht="19.5" customHeight="1">
      <c r="D201" s="505"/>
      <c r="E201" s="488" t="s">
        <v>611</v>
      </c>
      <c r="F201" s="514"/>
      <c r="G201" s="585"/>
      <c r="H201" s="585"/>
      <c r="I201" s="533">
        <v>88.9</v>
      </c>
      <c r="J201" s="533">
        <v>2</v>
      </c>
      <c r="K201" s="485"/>
      <c r="L201" s="485"/>
      <c r="M201" s="485"/>
      <c r="N201" s="485"/>
      <c r="O201" s="485"/>
      <c r="P201" s="485"/>
      <c r="Q201" s="485"/>
      <c r="R201" s="485"/>
    </row>
    <row r="202" spans="4:18" ht="28.5">
      <c r="D202" s="505"/>
      <c r="E202" s="488" t="s">
        <v>610</v>
      </c>
      <c r="F202" s="555"/>
      <c r="G202" s="555"/>
      <c r="H202" s="555"/>
      <c r="I202" s="1">
        <v>0</v>
      </c>
      <c r="J202" s="490">
        <v>1</v>
      </c>
      <c r="K202" s="485"/>
      <c r="L202" s="485"/>
      <c r="M202" s="485"/>
      <c r="N202" s="485"/>
      <c r="O202" s="485"/>
      <c r="P202" s="485"/>
      <c r="Q202" s="485"/>
      <c r="R202" s="485"/>
    </row>
    <row r="203" spans="4:18" ht="62.25" customHeight="1">
      <c r="D203" s="500"/>
      <c r="E203" s="633" t="s">
        <v>590</v>
      </c>
      <c r="F203" s="583"/>
      <c r="G203" s="484"/>
      <c r="H203" s="484"/>
      <c r="I203" s="484"/>
      <c r="J203" s="491" t="s">
        <v>802</v>
      </c>
      <c r="K203" s="484"/>
      <c r="L203" s="484"/>
      <c r="M203" s="485"/>
      <c r="N203" s="485"/>
      <c r="O203" s="485"/>
      <c r="P203" s="491" t="s">
        <v>855</v>
      </c>
      <c r="Q203" s="515" t="s">
        <v>835</v>
      </c>
      <c r="R203" s="491" t="s">
        <v>856</v>
      </c>
    </row>
    <row r="204" spans="4:21" ht="46.5" customHeight="1">
      <c r="D204" s="789" t="s">
        <v>817</v>
      </c>
      <c r="E204" s="737"/>
      <c r="F204" s="737"/>
      <c r="G204" s="737"/>
      <c r="H204" s="737"/>
      <c r="I204" s="737"/>
      <c r="J204" s="737"/>
      <c r="K204" s="737"/>
      <c r="L204" s="737"/>
      <c r="M204" s="737"/>
      <c r="N204" s="737"/>
      <c r="O204" s="737"/>
      <c r="P204" s="737"/>
      <c r="Q204" s="737"/>
      <c r="R204" s="738"/>
      <c r="U204" s="632">
        <v>11</v>
      </c>
    </row>
    <row r="205" spans="4:18" ht="26.25" customHeight="1">
      <c r="D205" s="715" t="s">
        <v>760</v>
      </c>
      <c r="E205" s="716"/>
      <c r="F205" s="716"/>
      <c r="G205" s="716"/>
      <c r="H205" s="716"/>
      <c r="I205" s="716"/>
      <c r="J205" s="716"/>
      <c r="K205" s="716"/>
      <c r="L205" s="716"/>
      <c r="M205" s="716"/>
      <c r="N205" s="716"/>
      <c r="O205" s="716"/>
      <c r="P205" s="716"/>
      <c r="Q205" s="716"/>
      <c r="R205" s="717"/>
    </row>
    <row r="206" spans="4:18" ht="31.5" customHeight="1" thickBot="1">
      <c r="D206" s="715" t="s">
        <v>761</v>
      </c>
      <c r="E206" s="716"/>
      <c r="F206" s="716"/>
      <c r="G206" s="716"/>
      <c r="H206" s="716"/>
      <c r="I206" s="716"/>
      <c r="J206" s="716"/>
      <c r="K206" s="716"/>
      <c r="L206" s="716"/>
      <c r="M206" s="716"/>
      <c r="N206" s="716"/>
      <c r="O206" s="716"/>
      <c r="P206" s="716"/>
      <c r="Q206" s="716"/>
      <c r="R206" s="717"/>
    </row>
    <row r="207" spans="4:18" ht="82.5" customHeight="1" thickBot="1">
      <c r="D207" s="606" t="s">
        <v>609</v>
      </c>
      <c r="E207" s="610" t="s">
        <v>765</v>
      </c>
      <c r="F207" s="628" t="s">
        <v>14</v>
      </c>
      <c r="G207" s="609">
        <v>0</v>
      </c>
      <c r="H207" s="609">
        <v>0</v>
      </c>
      <c r="I207" s="609"/>
      <c r="J207" s="607"/>
      <c r="K207" s="607"/>
      <c r="L207" s="607"/>
      <c r="M207" s="607"/>
      <c r="N207" s="607"/>
      <c r="O207" s="607"/>
      <c r="P207" s="607"/>
      <c r="Q207" s="607"/>
      <c r="R207" s="607"/>
    </row>
    <row r="208" spans="4:18" ht="81" customHeight="1" thickBot="1">
      <c r="D208" s="606" t="s">
        <v>614</v>
      </c>
      <c r="E208" s="611" t="s">
        <v>766</v>
      </c>
      <c r="F208" s="629" t="s">
        <v>14</v>
      </c>
      <c r="G208" s="609">
        <v>0</v>
      </c>
      <c r="H208" s="609">
        <v>0</v>
      </c>
      <c r="I208" s="609"/>
      <c r="J208" s="607"/>
      <c r="K208" s="607"/>
      <c r="L208" s="607"/>
      <c r="M208" s="607"/>
      <c r="N208" s="607"/>
      <c r="O208" s="607"/>
      <c r="P208" s="607"/>
      <c r="Q208" s="607"/>
      <c r="R208" s="607"/>
    </row>
    <row r="209" spans="4:18" ht="94.5" customHeight="1" thickBot="1">
      <c r="D209" s="606" t="s">
        <v>676</v>
      </c>
      <c r="E209" s="611" t="s">
        <v>767</v>
      </c>
      <c r="F209" s="630" t="s">
        <v>14</v>
      </c>
      <c r="G209" s="609">
        <v>0</v>
      </c>
      <c r="H209" s="609">
        <v>0</v>
      </c>
      <c r="I209" s="609"/>
      <c r="J209" s="607"/>
      <c r="K209" s="607"/>
      <c r="L209" s="607"/>
      <c r="M209" s="607"/>
      <c r="N209" s="607"/>
      <c r="O209" s="607"/>
      <c r="P209" s="607"/>
      <c r="Q209" s="607"/>
      <c r="R209" s="607"/>
    </row>
    <row r="210" spans="4:18" ht="95.25" customHeight="1" thickBot="1">
      <c r="D210" s="606" t="s">
        <v>699</v>
      </c>
      <c r="E210" s="611" t="s">
        <v>768</v>
      </c>
      <c r="F210" s="628" t="s">
        <v>14</v>
      </c>
      <c r="G210" s="609">
        <v>0</v>
      </c>
      <c r="H210" s="609">
        <v>0</v>
      </c>
      <c r="I210" s="609"/>
      <c r="J210" s="607"/>
      <c r="K210" s="607"/>
      <c r="L210" s="607"/>
      <c r="M210" s="607"/>
      <c r="N210" s="607"/>
      <c r="O210" s="607"/>
      <c r="P210" s="607"/>
      <c r="Q210" s="607"/>
      <c r="R210" s="607"/>
    </row>
    <row r="211" spans="4:18" ht="100.5" customHeight="1" thickBot="1">
      <c r="D211" s="606" t="s">
        <v>700</v>
      </c>
      <c r="E211" s="611" t="s">
        <v>768</v>
      </c>
      <c r="F211" s="629" t="s">
        <v>14</v>
      </c>
      <c r="G211" s="609">
        <v>0</v>
      </c>
      <c r="H211" s="609">
        <v>0</v>
      </c>
      <c r="I211" s="609"/>
      <c r="J211" s="607"/>
      <c r="K211" s="607"/>
      <c r="L211" s="607"/>
      <c r="M211" s="607"/>
      <c r="N211" s="607"/>
      <c r="O211" s="607"/>
      <c r="P211" s="607"/>
      <c r="Q211" s="607"/>
      <c r="R211" s="607"/>
    </row>
    <row r="212" spans="4:18" ht="90" customHeight="1" thickBot="1">
      <c r="D212" s="606" t="s">
        <v>701</v>
      </c>
      <c r="E212" s="611" t="s">
        <v>769</v>
      </c>
      <c r="F212" s="630" t="s">
        <v>14</v>
      </c>
      <c r="G212" s="609">
        <v>0</v>
      </c>
      <c r="H212" s="609">
        <v>0</v>
      </c>
      <c r="I212" s="609"/>
      <c r="J212" s="607"/>
      <c r="K212" s="607"/>
      <c r="L212" s="607"/>
      <c r="M212" s="607"/>
      <c r="N212" s="607"/>
      <c r="O212" s="607"/>
      <c r="P212" s="607"/>
      <c r="Q212" s="607"/>
      <c r="R212" s="607"/>
    </row>
    <row r="213" spans="4:18" ht="96.75" customHeight="1" thickBot="1">
      <c r="D213" s="606" t="s">
        <v>702</v>
      </c>
      <c r="E213" s="611" t="s">
        <v>770</v>
      </c>
      <c r="F213" s="628" t="s">
        <v>14</v>
      </c>
      <c r="G213" s="609">
        <v>0</v>
      </c>
      <c r="H213" s="609">
        <v>0</v>
      </c>
      <c r="I213" s="609"/>
      <c r="J213" s="607"/>
      <c r="K213" s="607"/>
      <c r="L213" s="607"/>
      <c r="M213" s="607"/>
      <c r="N213" s="607"/>
      <c r="O213" s="607"/>
      <c r="P213" s="607"/>
      <c r="Q213" s="607"/>
      <c r="R213" s="607"/>
    </row>
    <row r="214" spans="4:18" ht="96.75" customHeight="1" thickBot="1">
      <c r="D214" s="606" t="s">
        <v>706</v>
      </c>
      <c r="E214" s="611" t="s">
        <v>771</v>
      </c>
      <c r="F214" s="629" t="s">
        <v>14</v>
      </c>
      <c r="G214" s="609">
        <v>0</v>
      </c>
      <c r="H214" s="609">
        <v>0</v>
      </c>
      <c r="I214" s="609"/>
      <c r="J214" s="607"/>
      <c r="K214" s="607"/>
      <c r="L214" s="607"/>
      <c r="M214" s="607"/>
      <c r="N214" s="607"/>
      <c r="O214" s="607"/>
      <c r="P214" s="607"/>
      <c r="Q214" s="607"/>
      <c r="R214" s="607"/>
    </row>
    <row r="215" spans="4:18" ht="94.5" customHeight="1" thickBot="1">
      <c r="D215" s="606" t="s">
        <v>759</v>
      </c>
      <c r="E215" s="611" t="s">
        <v>772</v>
      </c>
      <c r="F215" s="630" t="s">
        <v>14</v>
      </c>
      <c r="G215" s="649">
        <v>0.54</v>
      </c>
      <c r="H215" s="637">
        <v>0.54</v>
      </c>
      <c r="I215" s="609"/>
      <c r="J215" s="607"/>
      <c r="K215" s="607"/>
      <c r="L215" s="607"/>
      <c r="M215" s="607"/>
      <c r="N215" s="607"/>
      <c r="O215" s="607"/>
      <c r="P215" s="607"/>
      <c r="Q215" s="607"/>
      <c r="R215" s="607"/>
    </row>
    <row r="216" spans="4:18" ht="96" customHeight="1" thickBot="1">
      <c r="D216" s="606" t="s">
        <v>762</v>
      </c>
      <c r="E216" s="611" t="s">
        <v>773</v>
      </c>
      <c r="F216" s="628" t="s">
        <v>14</v>
      </c>
      <c r="G216" s="609">
        <v>0</v>
      </c>
      <c r="H216" s="609">
        <v>0</v>
      </c>
      <c r="I216" s="609"/>
      <c r="J216" s="607"/>
      <c r="K216" s="607"/>
      <c r="L216" s="607"/>
      <c r="M216" s="607"/>
      <c r="N216" s="607"/>
      <c r="O216" s="607"/>
      <c r="P216" s="607"/>
      <c r="Q216" s="607"/>
      <c r="R216" s="607"/>
    </row>
    <row r="217" spans="4:18" ht="98.25" customHeight="1" thickBot="1">
      <c r="D217" s="606" t="s">
        <v>763</v>
      </c>
      <c r="E217" s="611" t="s">
        <v>774</v>
      </c>
      <c r="F217" s="629" t="s">
        <v>14</v>
      </c>
      <c r="G217" s="609">
        <v>0</v>
      </c>
      <c r="H217" s="609">
        <v>0</v>
      </c>
      <c r="I217" s="609"/>
      <c r="J217" s="607"/>
      <c r="K217" s="607"/>
      <c r="L217" s="607"/>
      <c r="M217" s="607"/>
      <c r="N217" s="607"/>
      <c r="O217" s="607"/>
      <c r="P217" s="607"/>
      <c r="Q217" s="607"/>
      <c r="R217" s="607"/>
    </row>
    <row r="218" spans="4:18" ht="97.5" customHeight="1" thickBot="1">
      <c r="D218" s="606" t="s">
        <v>764</v>
      </c>
      <c r="E218" s="612" t="s">
        <v>775</v>
      </c>
      <c r="F218" s="630" t="s">
        <v>14</v>
      </c>
      <c r="G218" s="609">
        <v>0</v>
      </c>
      <c r="H218" s="609">
        <v>0</v>
      </c>
      <c r="I218" s="609"/>
      <c r="J218" s="607"/>
      <c r="K218" s="607"/>
      <c r="L218" s="607"/>
      <c r="M218" s="607"/>
      <c r="N218" s="607"/>
      <c r="O218" s="607"/>
      <c r="P218" s="607"/>
      <c r="Q218" s="607"/>
      <c r="R218" s="607"/>
    </row>
    <row r="219" spans="4:18" ht="27" customHeight="1">
      <c r="D219" s="606"/>
      <c r="E219" s="488" t="s">
        <v>611</v>
      </c>
      <c r="F219" s="608"/>
      <c r="G219" s="609"/>
      <c r="H219" s="609"/>
      <c r="I219" s="532">
        <v>100</v>
      </c>
      <c r="J219" s="533">
        <v>3</v>
      </c>
      <c r="K219" s="607"/>
      <c r="L219" s="607"/>
      <c r="M219" s="607"/>
      <c r="N219" s="607"/>
      <c r="O219" s="607"/>
      <c r="P219" s="607"/>
      <c r="Q219" s="607"/>
      <c r="R219" s="607"/>
    </row>
    <row r="220" spans="4:18" ht="28.5">
      <c r="D220" s="606"/>
      <c r="E220" s="488" t="s">
        <v>610</v>
      </c>
      <c r="F220" s="608"/>
      <c r="G220" s="609"/>
      <c r="H220" s="609"/>
      <c r="I220" s="491">
        <v>100</v>
      </c>
      <c r="J220" s="490">
        <v>0</v>
      </c>
      <c r="K220" s="607"/>
      <c r="L220" s="607"/>
      <c r="M220" s="607"/>
      <c r="N220" s="607"/>
      <c r="O220" s="607"/>
      <c r="P220" s="607"/>
      <c r="Q220" s="607"/>
      <c r="R220" s="607"/>
    </row>
    <row r="221" spans="4:18" ht="75.75" customHeight="1">
      <c r="D221" s="606"/>
      <c r="E221" s="633" t="s">
        <v>590</v>
      </c>
      <c r="F221" s="608"/>
      <c r="G221" s="609"/>
      <c r="H221" s="609"/>
      <c r="I221" s="609"/>
      <c r="J221" s="621" t="s">
        <v>802</v>
      </c>
      <c r="K221" s="622"/>
      <c r="L221" s="622"/>
      <c r="M221" s="623"/>
      <c r="N221" s="623"/>
      <c r="O221" s="623"/>
      <c r="P221" s="621" t="s">
        <v>803</v>
      </c>
      <c r="Q221" s="616" t="s">
        <v>794</v>
      </c>
      <c r="R221" s="631" t="s">
        <v>804</v>
      </c>
    </row>
    <row r="222" spans="4:21" ht="39.75" customHeight="1">
      <c r="D222" s="606"/>
      <c r="E222" s="790" t="s">
        <v>818</v>
      </c>
      <c r="F222" s="791"/>
      <c r="G222" s="791"/>
      <c r="H222" s="791"/>
      <c r="I222" s="791"/>
      <c r="J222" s="791"/>
      <c r="K222" s="791"/>
      <c r="L222" s="791"/>
      <c r="M222" s="791"/>
      <c r="N222" s="791"/>
      <c r="O222" s="791"/>
      <c r="P222" s="791"/>
      <c r="Q222" s="791"/>
      <c r="R222" s="792"/>
      <c r="U222" s="632">
        <v>12</v>
      </c>
    </row>
    <row r="223" spans="4:18" ht="33" customHeight="1">
      <c r="D223" s="606"/>
      <c r="E223" s="676" t="s">
        <v>779</v>
      </c>
      <c r="F223" s="677"/>
      <c r="G223" s="677"/>
      <c r="H223" s="677"/>
      <c r="I223" s="677"/>
      <c r="J223" s="677"/>
      <c r="K223" s="677"/>
      <c r="L223" s="677"/>
      <c r="M223" s="677"/>
      <c r="N223" s="677"/>
      <c r="O223" s="677"/>
      <c r="P223" s="677"/>
      <c r="Q223" s="677"/>
      <c r="R223" s="678"/>
    </row>
    <row r="224" spans="4:18" ht="29.25" customHeight="1">
      <c r="D224" s="606"/>
      <c r="E224" s="728" t="s">
        <v>780</v>
      </c>
      <c r="F224" s="729"/>
      <c r="G224" s="729"/>
      <c r="H224" s="729"/>
      <c r="I224" s="729"/>
      <c r="J224" s="729"/>
      <c r="K224" s="729"/>
      <c r="L224" s="729"/>
      <c r="M224" s="729"/>
      <c r="N224" s="729"/>
      <c r="O224" s="729"/>
      <c r="P224" s="729"/>
      <c r="Q224" s="729"/>
      <c r="R224" s="730"/>
    </row>
    <row r="225" spans="4:18" ht="45">
      <c r="D225" s="606" t="s">
        <v>609</v>
      </c>
      <c r="E225" s="616" t="s">
        <v>781</v>
      </c>
      <c r="F225" s="608" t="s">
        <v>605</v>
      </c>
      <c r="G225" s="609">
        <v>5</v>
      </c>
      <c r="H225" s="609">
        <v>5</v>
      </c>
      <c r="I225" s="609"/>
      <c r="J225" s="607"/>
      <c r="K225" s="607"/>
      <c r="L225" s="607"/>
      <c r="M225" s="607"/>
      <c r="N225" s="607"/>
      <c r="O225" s="607"/>
      <c r="P225" s="607"/>
      <c r="Q225" s="607"/>
      <c r="R225" s="607"/>
    </row>
    <row r="226" spans="4:18" ht="90">
      <c r="D226" s="606" t="s">
        <v>614</v>
      </c>
      <c r="E226" s="616" t="s">
        <v>782</v>
      </c>
      <c r="F226" s="608" t="s">
        <v>605</v>
      </c>
      <c r="G226" s="609">
        <v>6</v>
      </c>
      <c r="H226" s="609">
        <v>6</v>
      </c>
      <c r="I226" s="609"/>
      <c r="J226" s="607"/>
      <c r="K226" s="607"/>
      <c r="L226" s="607"/>
      <c r="M226" s="607"/>
      <c r="N226" s="607"/>
      <c r="O226" s="607"/>
      <c r="P226" s="607"/>
      <c r="Q226" s="607"/>
      <c r="R226" s="607"/>
    </row>
    <row r="227" spans="4:18" ht="24.75" customHeight="1">
      <c r="D227" s="606"/>
      <c r="E227" s="488" t="s">
        <v>611</v>
      </c>
      <c r="F227" s="608"/>
      <c r="G227" s="609"/>
      <c r="H227" s="609"/>
      <c r="I227" s="618">
        <v>100</v>
      </c>
      <c r="J227" s="618">
        <v>3</v>
      </c>
      <c r="K227" s="607"/>
      <c r="L227" s="607"/>
      <c r="M227" s="607"/>
      <c r="N227" s="607"/>
      <c r="O227" s="607"/>
      <c r="P227" s="607"/>
      <c r="Q227" s="607"/>
      <c r="R227" s="607"/>
    </row>
    <row r="228" spans="4:18" ht="28.5">
      <c r="D228" s="606"/>
      <c r="E228" s="488" t="s">
        <v>610</v>
      </c>
      <c r="F228" s="608"/>
      <c r="G228" s="609"/>
      <c r="H228" s="609"/>
      <c r="I228" s="618">
        <v>100</v>
      </c>
      <c r="J228" s="618">
        <v>0</v>
      </c>
      <c r="K228" s="607"/>
      <c r="L228" s="607"/>
      <c r="M228" s="607"/>
      <c r="N228" s="607"/>
      <c r="O228" s="607"/>
      <c r="P228" s="607"/>
      <c r="Q228" s="607"/>
      <c r="R228" s="607"/>
    </row>
    <row r="229" spans="4:18" ht="35.25" customHeight="1" thickBot="1">
      <c r="D229" s="606"/>
      <c r="E229" s="728" t="s">
        <v>783</v>
      </c>
      <c r="F229" s="731"/>
      <c r="G229" s="731"/>
      <c r="H229" s="731"/>
      <c r="I229" s="731"/>
      <c r="J229" s="731"/>
      <c r="K229" s="731"/>
      <c r="L229" s="731"/>
      <c r="M229" s="731"/>
      <c r="N229" s="731"/>
      <c r="O229" s="731"/>
      <c r="P229" s="731"/>
      <c r="Q229" s="731"/>
      <c r="R229" s="732"/>
    </row>
    <row r="230" spans="4:18" ht="57.75" customHeight="1" thickBot="1">
      <c r="D230" s="606" t="s">
        <v>609</v>
      </c>
      <c r="E230" s="617" t="s">
        <v>784</v>
      </c>
      <c r="F230" s="608" t="s">
        <v>605</v>
      </c>
      <c r="G230" s="609">
        <v>50</v>
      </c>
      <c r="H230" s="609">
        <v>50</v>
      </c>
      <c r="I230" s="609"/>
      <c r="J230" s="607"/>
      <c r="K230" s="607"/>
      <c r="L230" s="607"/>
      <c r="M230" s="607"/>
      <c r="N230" s="607"/>
      <c r="O230" s="607"/>
      <c r="P230" s="607"/>
      <c r="Q230" s="607"/>
      <c r="R230" s="607"/>
    </row>
    <row r="231" spans="4:18" ht="72.75" customHeight="1" thickBot="1">
      <c r="D231" s="606" t="s">
        <v>614</v>
      </c>
      <c r="E231" s="587" t="s">
        <v>785</v>
      </c>
      <c r="F231" s="608" t="s">
        <v>605</v>
      </c>
      <c r="G231" s="609">
        <v>5</v>
      </c>
      <c r="H231" s="609">
        <v>5</v>
      </c>
      <c r="I231" s="609"/>
      <c r="J231" s="607"/>
      <c r="K231" s="607"/>
      <c r="L231" s="607"/>
      <c r="M231" s="607"/>
      <c r="N231" s="607"/>
      <c r="O231" s="607"/>
      <c r="P231" s="607"/>
      <c r="Q231" s="607"/>
      <c r="R231" s="607"/>
    </row>
    <row r="232" spans="4:18" ht="23.25" customHeight="1">
      <c r="D232" s="606"/>
      <c r="E232" s="488" t="s">
        <v>611</v>
      </c>
      <c r="F232" s="608"/>
      <c r="G232" s="609"/>
      <c r="H232" s="609"/>
      <c r="I232" s="618">
        <v>100</v>
      </c>
      <c r="J232" s="618">
        <v>3</v>
      </c>
      <c r="K232" s="607"/>
      <c r="L232" s="607"/>
      <c r="M232" s="607"/>
      <c r="N232" s="607"/>
      <c r="O232" s="607"/>
      <c r="P232" s="607"/>
      <c r="Q232" s="607"/>
      <c r="R232" s="607"/>
    </row>
    <row r="233" spans="4:18" ht="28.5">
      <c r="D233" s="606"/>
      <c r="E233" s="488" t="s">
        <v>610</v>
      </c>
      <c r="F233" s="608"/>
      <c r="G233" s="609"/>
      <c r="H233" s="609"/>
      <c r="I233" s="618">
        <v>100</v>
      </c>
      <c r="J233" s="618">
        <v>0</v>
      </c>
      <c r="K233" s="607"/>
      <c r="L233" s="607"/>
      <c r="M233" s="607"/>
      <c r="N233" s="607"/>
      <c r="O233" s="607"/>
      <c r="P233" s="607"/>
      <c r="Q233" s="607"/>
      <c r="R233" s="607"/>
    </row>
    <row r="234" spans="4:18" ht="45.75" customHeight="1">
      <c r="D234" s="733" t="s">
        <v>786</v>
      </c>
      <c r="E234" s="734"/>
      <c r="F234" s="734"/>
      <c r="G234" s="734"/>
      <c r="H234" s="734"/>
      <c r="I234" s="734"/>
      <c r="J234" s="734"/>
      <c r="K234" s="734"/>
      <c r="L234" s="734"/>
      <c r="M234" s="734"/>
      <c r="N234" s="734"/>
      <c r="O234" s="734"/>
      <c r="P234" s="734"/>
      <c r="Q234" s="734"/>
      <c r="R234" s="735"/>
    </row>
    <row r="235" spans="4:18" ht="75">
      <c r="D235" s="606" t="s">
        <v>609</v>
      </c>
      <c r="E235" s="616" t="s">
        <v>787</v>
      </c>
      <c r="F235" s="608" t="s">
        <v>605</v>
      </c>
      <c r="G235" s="609">
        <v>5</v>
      </c>
      <c r="H235" s="609">
        <v>5</v>
      </c>
      <c r="I235" s="609"/>
      <c r="J235" s="607"/>
      <c r="K235" s="607"/>
      <c r="L235" s="607"/>
      <c r="M235" s="607"/>
      <c r="N235" s="607"/>
      <c r="O235" s="607"/>
      <c r="P235" s="607"/>
      <c r="Q235" s="607"/>
      <c r="R235" s="607"/>
    </row>
    <row r="236" spans="4:18" ht="16.5" customHeight="1">
      <c r="D236" s="606"/>
      <c r="E236" s="488" t="s">
        <v>611</v>
      </c>
      <c r="F236" s="608"/>
      <c r="G236" s="609"/>
      <c r="H236" s="609"/>
      <c r="I236" s="618">
        <v>100</v>
      </c>
      <c r="J236" s="618">
        <v>3</v>
      </c>
      <c r="K236" s="607"/>
      <c r="L236" s="607"/>
      <c r="M236" s="607"/>
      <c r="N236" s="607"/>
      <c r="O236" s="607"/>
      <c r="P236" s="607"/>
      <c r="Q236" s="607"/>
      <c r="R236" s="607"/>
    </row>
    <row r="237" spans="4:18" ht="28.5">
      <c r="D237" s="606"/>
      <c r="E237" s="488" t="s">
        <v>610</v>
      </c>
      <c r="F237" s="608"/>
      <c r="G237" s="609"/>
      <c r="H237" s="609"/>
      <c r="I237" s="618">
        <v>100</v>
      </c>
      <c r="J237" s="618">
        <v>0</v>
      </c>
      <c r="K237" s="607"/>
      <c r="L237" s="607"/>
      <c r="M237" s="607"/>
      <c r="N237" s="607"/>
      <c r="O237" s="607"/>
      <c r="P237" s="607"/>
      <c r="Q237" s="607"/>
      <c r="R237" s="607"/>
    </row>
    <row r="238" spans="4:18" ht="30.75" customHeight="1" thickBot="1">
      <c r="D238" s="606"/>
      <c r="E238" s="728" t="s">
        <v>788</v>
      </c>
      <c r="F238" s="729"/>
      <c r="G238" s="729"/>
      <c r="H238" s="729"/>
      <c r="I238" s="729"/>
      <c r="J238" s="729"/>
      <c r="K238" s="729"/>
      <c r="L238" s="729"/>
      <c r="M238" s="729"/>
      <c r="N238" s="729"/>
      <c r="O238" s="729"/>
      <c r="P238" s="729"/>
      <c r="Q238" s="729"/>
      <c r="R238" s="730"/>
    </row>
    <row r="239" spans="4:18" ht="70.5" customHeight="1" thickBot="1">
      <c r="D239" s="606" t="s">
        <v>609</v>
      </c>
      <c r="E239" s="619" t="s">
        <v>789</v>
      </c>
      <c r="F239" s="608" t="s">
        <v>605</v>
      </c>
      <c r="G239" s="609">
        <v>6</v>
      </c>
      <c r="H239" s="609">
        <v>6</v>
      </c>
      <c r="I239" s="609"/>
      <c r="J239" s="607"/>
      <c r="K239" s="607"/>
      <c r="L239" s="607"/>
      <c r="M239" s="607"/>
      <c r="N239" s="607"/>
      <c r="O239" s="607"/>
      <c r="P239" s="607"/>
      <c r="Q239" s="607"/>
      <c r="R239" s="607"/>
    </row>
    <row r="240" spans="4:18" ht="69.75" customHeight="1" thickBot="1">
      <c r="D240" s="606" t="s">
        <v>614</v>
      </c>
      <c r="E240" s="620" t="s">
        <v>790</v>
      </c>
      <c r="F240" s="608" t="s">
        <v>516</v>
      </c>
      <c r="G240" s="609">
        <v>0</v>
      </c>
      <c r="H240" s="609">
        <v>0</v>
      </c>
      <c r="I240" s="609"/>
      <c r="J240" s="607"/>
      <c r="K240" s="607"/>
      <c r="L240" s="607"/>
      <c r="M240" s="607"/>
      <c r="N240" s="607"/>
      <c r="O240" s="607"/>
      <c r="P240" s="607"/>
      <c r="Q240" s="607"/>
      <c r="R240" s="607"/>
    </row>
    <row r="241" spans="4:18" ht="15">
      <c r="D241" s="606"/>
      <c r="E241" s="488" t="s">
        <v>611</v>
      </c>
      <c r="F241" s="608"/>
      <c r="G241" s="609"/>
      <c r="H241" s="609"/>
      <c r="I241" s="618">
        <v>100</v>
      </c>
      <c r="J241" s="618">
        <v>3</v>
      </c>
      <c r="K241" s="607"/>
      <c r="L241" s="607"/>
      <c r="M241" s="607"/>
      <c r="N241" s="607"/>
      <c r="O241" s="607"/>
      <c r="P241" s="607"/>
      <c r="Q241" s="607"/>
      <c r="R241" s="607"/>
    </row>
    <row r="242" spans="4:18" ht="28.5">
      <c r="D242" s="606"/>
      <c r="E242" s="488" t="s">
        <v>610</v>
      </c>
      <c r="F242" s="608"/>
      <c r="G242" s="609"/>
      <c r="H242" s="609"/>
      <c r="I242" s="618">
        <v>100</v>
      </c>
      <c r="J242" s="618">
        <v>0</v>
      </c>
      <c r="K242" s="607"/>
      <c r="L242" s="607"/>
      <c r="M242" s="607"/>
      <c r="N242" s="607"/>
      <c r="O242" s="607"/>
      <c r="P242" s="607"/>
      <c r="Q242" s="607"/>
      <c r="R242" s="607"/>
    </row>
    <row r="243" spans="4:18" ht="50.25" customHeight="1">
      <c r="D243" s="606"/>
      <c r="E243" s="634" t="s">
        <v>590</v>
      </c>
      <c r="F243" s="608"/>
      <c r="G243" s="609"/>
      <c r="H243" s="609"/>
      <c r="I243" s="609"/>
      <c r="J243" s="621" t="s">
        <v>791</v>
      </c>
      <c r="K243" s="622"/>
      <c r="L243" s="622"/>
      <c r="M243" s="623"/>
      <c r="N243" s="623"/>
      <c r="O243" s="623"/>
      <c r="P243" s="621" t="s">
        <v>792</v>
      </c>
      <c r="Q243" s="616" t="s">
        <v>794</v>
      </c>
      <c r="R243" s="616" t="s">
        <v>793</v>
      </c>
    </row>
    <row r="244" spans="4:21" ht="41.25" customHeight="1">
      <c r="D244" s="789" t="s">
        <v>819</v>
      </c>
      <c r="E244" s="793"/>
      <c r="F244" s="793"/>
      <c r="G244" s="793"/>
      <c r="H244" s="793"/>
      <c r="I244" s="793"/>
      <c r="J244" s="793"/>
      <c r="K244" s="793"/>
      <c r="L244" s="793"/>
      <c r="M244" s="793"/>
      <c r="N244" s="793"/>
      <c r="O244" s="793"/>
      <c r="P244" s="793"/>
      <c r="Q244" s="793"/>
      <c r="R244" s="794"/>
      <c r="U244" s="641">
        <v>13</v>
      </c>
    </row>
    <row r="245" spans="4:18" ht="26.25" customHeight="1">
      <c r="D245" s="715" t="s">
        <v>820</v>
      </c>
      <c r="E245" s="721"/>
      <c r="F245" s="721"/>
      <c r="G245" s="721"/>
      <c r="H245" s="721"/>
      <c r="I245" s="721"/>
      <c r="J245" s="721"/>
      <c r="K245" s="721"/>
      <c r="L245" s="721"/>
      <c r="M245" s="721"/>
      <c r="N245" s="721"/>
      <c r="O245" s="721"/>
      <c r="P245" s="721"/>
      <c r="Q245" s="721"/>
      <c r="R245" s="722"/>
    </row>
    <row r="246" spans="4:18" ht="37.5" customHeight="1">
      <c r="D246" s="715" t="s">
        <v>821</v>
      </c>
      <c r="E246" s="723"/>
      <c r="F246" s="723"/>
      <c r="G246" s="723"/>
      <c r="H246" s="723"/>
      <c r="I246" s="723"/>
      <c r="J246" s="723"/>
      <c r="K246" s="723"/>
      <c r="L246" s="723"/>
      <c r="M246" s="723"/>
      <c r="N246" s="723"/>
      <c r="O246" s="723"/>
      <c r="P246" s="723"/>
      <c r="Q246" s="723"/>
      <c r="R246" s="724"/>
    </row>
    <row r="247" spans="4:18" ht="20.25" customHeight="1" thickBot="1">
      <c r="D247" s="606"/>
      <c r="E247" s="725" t="s">
        <v>822</v>
      </c>
      <c r="F247" s="726"/>
      <c r="G247" s="726"/>
      <c r="H247" s="726"/>
      <c r="I247" s="726"/>
      <c r="J247" s="726"/>
      <c r="K247" s="726"/>
      <c r="L247" s="726"/>
      <c r="M247" s="726"/>
      <c r="N247" s="726"/>
      <c r="O247" s="726"/>
      <c r="P247" s="726"/>
      <c r="Q247" s="726"/>
      <c r="R247" s="727"/>
    </row>
    <row r="248" spans="4:18" ht="48" thickBot="1">
      <c r="D248" s="606" t="s">
        <v>609</v>
      </c>
      <c r="E248" s="610" t="s">
        <v>823</v>
      </c>
      <c r="F248" s="637" t="s">
        <v>824</v>
      </c>
      <c r="G248" s="637" t="s">
        <v>825</v>
      </c>
      <c r="H248" s="637">
        <v>0</v>
      </c>
      <c r="I248" s="609"/>
      <c r="J248" s="607"/>
      <c r="K248" s="607"/>
      <c r="L248" s="607"/>
      <c r="M248" s="607"/>
      <c r="N248" s="607"/>
      <c r="O248" s="607"/>
      <c r="P248" s="607"/>
      <c r="Q248" s="607"/>
      <c r="R248" s="607"/>
    </row>
    <row r="249" spans="4:18" ht="65.25" customHeight="1" thickBot="1">
      <c r="D249" s="606" t="s">
        <v>614</v>
      </c>
      <c r="E249" s="610" t="s">
        <v>826</v>
      </c>
      <c r="F249" s="638" t="s">
        <v>824</v>
      </c>
      <c r="G249" s="639">
        <v>0</v>
      </c>
      <c r="H249" s="637">
        <v>0</v>
      </c>
      <c r="I249" s="609"/>
      <c r="J249" s="607"/>
      <c r="K249" s="607"/>
      <c r="L249" s="607"/>
      <c r="M249" s="607"/>
      <c r="N249" s="607"/>
      <c r="O249" s="607"/>
      <c r="P249" s="607"/>
      <c r="Q249" s="607"/>
      <c r="R249" s="607"/>
    </row>
    <row r="250" spans="4:18" ht="32.25" thickBot="1">
      <c r="D250" s="606" t="s">
        <v>676</v>
      </c>
      <c r="E250" s="610" t="s">
        <v>827</v>
      </c>
      <c r="F250" s="638" t="s">
        <v>828</v>
      </c>
      <c r="G250" s="637" t="s">
        <v>853</v>
      </c>
      <c r="H250" s="637">
        <v>329</v>
      </c>
      <c r="I250" s="609"/>
      <c r="J250" s="607"/>
      <c r="K250" s="607"/>
      <c r="L250" s="607"/>
      <c r="M250" s="607"/>
      <c r="N250" s="607"/>
      <c r="O250" s="607"/>
      <c r="P250" s="607"/>
      <c r="Q250" s="607"/>
      <c r="R250" s="607"/>
    </row>
    <row r="251" spans="4:18" ht="48" thickBot="1">
      <c r="D251" s="606" t="s">
        <v>699</v>
      </c>
      <c r="E251" s="640" t="s">
        <v>829</v>
      </c>
      <c r="F251" s="638" t="s">
        <v>824</v>
      </c>
      <c r="G251" s="637">
        <v>40</v>
      </c>
      <c r="H251" s="637">
        <v>320</v>
      </c>
      <c r="I251" s="609"/>
      <c r="J251" s="607"/>
      <c r="K251" s="607"/>
      <c r="L251" s="607"/>
      <c r="M251" s="607"/>
      <c r="N251" s="607"/>
      <c r="O251" s="607"/>
      <c r="P251" s="607"/>
      <c r="Q251" s="607"/>
      <c r="R251" s="607"/>
    </row>
    <row r="252" spans="4:18" ht="22.5" customHeight="1">
      <c r="D252" s="606"/>
      <c r="E252" s="488" t="s">
        <v>611</v>
      </c>
      <c r="F252" s="608"/>
      <c r="G252" s="609"/>
      <c r="H252" s="609"/>
      <c r="I252" s="618">
        <v>100</v>
      </c>
      <c r="J252" s="618">
        <v>3</v>
      </c>
      <c r="K252" s="607"/>
      <c r="L252" s="607"/>
      <c r="M252" s="607"/>
      <c r="N252" s="607"/>
      <c r="O252" s="607"/>
      <c r="P252" s="607"/>
      <c r="Q252" s="607"/>
      <c r="R252" s="607"/>
    </row>
    <row r="253" spans="4:18" ht="28.5">
      <c r="D253" s="606"/>
      <c r="E253" s="488" t="s">
        <v>610</v>
      </c>
      <c r="F253" s="608"/>
      <c r="G253" s="609"/>
      <c r="H253" s="609"/>
      <c r="I253" s="618">
        <v>100</v>
      </c>
      <c r="J253" s="618">
        <v>0</v>
      </c>
      <c r="K253" s="607"/>
      <c r="L253" s="607"/>
      <c r="M253" s="607"/>
      <c r="N253" s="607"/>
      <c r="O253" s="607"/>
      <c r="P253" s="607"/>
      <c r="Q253" s="607"/>
      <c r="R253" s="607"/>
    </row>
    <row r="254" spans="4:18" ht="60">
      <c r="D254" s="606"/>
      <c r="E254" s="634" t="s">
        <v>590</v>
      </c>
      <c r="F254" s="608"/>
      <c r="G254" s="609"/>
      <c r="H254" s="609"/>
      <c r="I254" s="609"/>
      <c r="J254" s="621" t="s">
        <v>802</v>
      </c>
      <c r="K254" s="622"/>
      <c r="L254" s="622"/>
      <c r="M254" s="623"/>
      <c r="N254" s="623"/>
      <c r="O254" s="623"/>
      <c r="P254" s="621" t="s">
        <v>803</v>
      </c>
      <c r="Q254" s="616" t="s">
        <v>794</v>
      </c>
      <c r="R254" s="616" t="s">
        <v>830</v>
      </c>
    </row>
  </sheetData>
  <sheetProtection selectLockedCells="1" selectUnlockedCells="1"/>
  <mergeCells count="80">
    <mergeCell ref="D244:R244"/>
    <mergeCell ref="D245:R245"/>
    <mergeCell ref="D246:R246"/>
    <mergeCell ref="E247:R247"/>
    <mergeCell ref="E238:R238"/>
    <mergeCell ref="E222:R222"/>
    <mergeCell ref="E223:R223"/>
    <mergeCell ref="E224:R224"/>
    <mergeCell ref="E229:R229"/>
    <mergeCell ref="D234:R234"/>
    <mergeCell ref="D206:R206"/>
    <mergeCell ref="E182:R182"/>
    <mergeCell ref="E158:R158"/>
    <mergeCell ref="E140:R140"/>
    <mergeCell ref="D165:R165"/>
    <mergeCell ref="E146:R146"/>
    <mergeCell ref="E147:R147"/>
    <mergeCell ref="E190:R190"/>
    <mergeCell ref="E176:R176"/>
    <mergeCell ref="D189:R189"/>
    <mergeCell ref="D100:R100"/>
    <mergeCell ref="E77:R77"/>
    <mergeCell ref="E78:R78"/>
    <mergeCell ref="E70:R70"/>
    <mergeCell ref="D204:R204"/>
    <mergeCell ref="D205:R205"/>
    <mergeCell ref="E183:R183"/>
    <mergeCell ref="E167:R167"/>
    <mergeCell ref="E166:R166"/>
    <mergeCell ref="R115:R116"/>
    <mergeCell ref="D139:R139"/>
    <mergeCell ref="E55:R55"/>
    <mergeCell ref="E56:R56"/>
    <mergeCell ref="D85:R85"/>
    <mergeCell ref="D87:R87"/>
    <mergeCell ref="D96:R96"/>
    <mergeCell ref="E69:R69"/>
    <mergeCell ref="E107:R107"/>
    <mergeCell ref="D106:R106"/>
    <mergeCell ref="D76:R76"/>
    <mergeCell ref="P3:P4"/>
    <mergeCell ref="D1:R1"/>
    <mergeCell ref="D61:R61"/>
    <mergeCell ref="D25:R25"/>
    <mergeCell ref="J3:J4"/>
    <mergeCell ref="D3:D4"/>
    <mergeCell ref="E34:R34"/>
    <mergeCell ref="I3:I4"/>
    <mergeCell ref="D6:R6"/>
    <mergeCell ref="D8:R8"/>
    <mergeCell ref="E47:R47"/>
    <mergeCell ref="Q3:Q4"/>
    <mergeCell ref="E3:E4"/>
    <mergeCell ref="F3:F4"/>
    <mergeCell ref="R3:R4"/>
    <mergeCell ref="D27:R27"/>
    <mergeCell ref="E39:R39"/>
    <mergeCell ref="E40:R40"/>
    <mergeCell ref="D26:R26"/>
    <mergeCell ref="E33:R33"/>
    <mergeCell ref="E48:R48"/>
    <mergeCell ref="D86:R86"/>
    <mergeCell ref="E132:R132"/>
    <mergeCell ref="G3:H3"/>
    <mergeCell ref="E159:R159"/>
    <mergeCell ref="E108:R108"/>
    <mergeCell ref="E119:R119"/>
    <mergeCell ref="E120:R120"/>
    <mergeCell ref="E141:R141"/>
    <mergeCell ref="D7:R7"/>
    <mergeCell ref="E62:R62"/>
    <mergeCell ref="E63:R63"/>
    <mergeCell ref="E133:R133"/>
    <mergeCell ref="E191:R191"/>
    <mergeCell ref="I115:I116"/>
    <mergeCell ref="J115:J116"/>
    <mergeCell ref="P115:P116"/>
    <mergeCell ref="Q115:Q116"/>
    <mergeCell ref="D174:R174"/>
    <mergeCell ref="E175:R175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Курдюмова</cp:lastModifiedBy>
  <cp:lastPrinted>2021-03-24T07:03:39Z</cp:lastPrinted>
  <dcterms:created xsi:type="dcterms:W3CDTF">1996-10-08T23:32:33Z</dcterms:created>
  <dcterms:modified xsi:type="dcterms:W3CDTF">2022-03-25T12:55:18Z</dcterms:modified>
  <cp:category/>
  <cp:version/>
  <cp:contentType/>
  <cp:contentStatus/>
</cp:coreProperties>
</file>